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/>
  <bookViews>
    <workbookView xWindow="45" yWindow="-30" windowWidth="20235" windowHeight="7860"/>
  </bookViews>
  <sheets>
    <sheet name="калькуляция" sheetId="12" r:id="rId1"/>
    <sheet name="NPV" sheetId="13" r:id="rId2"/>
    <sheet name="сазонова" sheetId="15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9" i="15"/>
  <c r="G25" i="13"/>
  <c r="T8"/>
  <c r="H8" s="1"/>
  <c r="H6"/>
  <c r="I6" s="1"/>
  <c r="I5" s="1"/>
  <c r="F22" i="12"/>
  <c r="F21"/>
  <c r="F17"/>
  <c r="F16"/>
  <c r="F15"/>
  <c r="F14"/>
  <c r="F13"/>
  <c r="F12"/>
  <c r="E27"/>
  <c r="F27" s="1"/>
  <c r="E25"/>
  <c r="F25" s="1"/>
  <c r="E23"/>
  <c r="F23" s="1"/>
  <c r="E22"/>
  <c r="E21"/>
  <c r="E20"/>
  <c r="F20" s="1"/>
  <c r="E19"/>
  <c r="F19" s="1"/>
  <c r="E18"/>
  <c r="F18" s="1"/>
  <c r="E17"/>
  <c r="E16"/>
  <c r="E15"/>
  <c r="E14"/>
  <c r="E13"/>
  <c r="E12"/>
  <c r="E5"/>
  <c r="E6"/>
  <c r="D24"/>
  <c r="D26" s="1"/>
  <c r="E26" s="1"/>
  <c r="H5" i="13" l="1"/>
  <c r="J6"/>
  <c r="J5" s="1"/>
  <c r="F24" i="12"/>
  <c r="F26" s="1"/>
  <c r="E24"/>
  <c r="D28"/>
  <c r="K6" i="13" l="1"/>
  <c r="K5" s="1"/>
  <c r="H7"/>
  <c r="H9"/>
  <c r="I9"/>
  <c r="I7"/>
  <c r="E28" i="12"/>
  <c r="C7" s="1"/>
  <c r="F29"/>
  <c r="F30" s="1"/>
  <c r="F28"/>
  <c r="D7" s="1"/>
  <c r="H10" i="13" l="1"/>
  <c r="H11" s="1"/>
  <c r="L6"/>
  <c r="L5" s="1"/>
  <c r="I10"/>
  <c r="I11" s="1"/>
  <c r="I12" s="1"/>
  <c r="J7"/>
  <c r="J9"/>
  <c r="E7" i="12"/>
  <c r="F7" s="1"/>
  <c r="H12" i="13" l="1"/>
  <c r="J10"/>
  <c r="J11" s="1"/>
  <c r="J12" s="1"/>
  <c r="K9"/>
  <c r="K7"/>
  <c r="M6"/>
  <c r="M5" s="1"/>
  <c r="F8" i="12"/>
  <c r="L7" i="13" l="1"/>
  <c r="L9"/>
  <c r="H13"/>
  <c r="N6"/>
  <c r="N5" s="1"/>
  <c r="K10"/>
  <c r="M9" l="1"/>
  <c r="M7"/>
  <c r="O6"/>
  <c r="O5" s="1"/>
  <c r="I13"/>
  <c r="J13" s="1"/>
  <c r="L10"/>
  <c r="L11" s="1"/>
  <c r="L12" s="1"/>
  <c r="K11"/>
  <c r="K12" l="1"/>
  <c r="K13" s="1"/>
  <c r="N7"/>
  <c r="N9"/>
  <c r="M10"/>
  <c r="M11" s="1"/>
  <c r="M12" s="1"/>
  <c r="P6"/>
  <c r="P5" s="1"/>
  <c r="O9" l="1"/>
  <c r="O7"/>
  <c r="L13"/>
  <c r="M13" s="1"/>
  <c r="Q6"/>
  <c r="Q5" s="1"/>
  <c r="N10"/>
  <c r="N11" s="1"/>
  <c r="N12" l="1"/>
  <c r="N13" s="1"/>
  <c r="R6"/>
  <c r="R5" s="1"/>
  <c r="P7"/>
  <c r="P9"/>
  <c r="O10"/>
  <c r="O11" s="1"/>
  <c r="O12" s="1"/>
  <c r="P10" l="1"/>
  <c r="P11" s="1"/>
  <c r="P12" s="1"/>
  <c r="O13"/>
  <c r="Q9"/>
  <c r="Q7"/>
  <c r="S6"/>
  <c r="S5" s="1"/>
  <c r="S9" l="1"/>
  <c r="S7"/>
  <c r="T5"/>
  <c r="Q10"/>
  <c r="Q11" s="1"/>
  <c r="Q12" s="1"/>
  <c r="R7"/>
  <c r="R9"/>
  <c r="P13"/>
  <c r="R10" l="1"/>
  <c r="R11" s="1"/>
  <c r="R12" s="1"/>
  <c r="S10"/>
  <c r="T7"/>
  <c r="T9"/>
  <c r="Q13"/>
  <c r="T10" l="1"/>
  <c r="R13"/>
  <c r="S11"/>
  <c r="S12" l="1"/>
  <c r="T12" s="1"/>
  <c r="G15"/>
  <c r="T11"/>
  <c r="S13" l="1"/>
  <c r="G16" l="1"/>
  <c r="G14"/>
  <c r="G17"/>
</calcChain>
</file>

<file path=xl/comments1.xml><?xml version="1.0" encoding="utf-8"?>
<comments xmlns="http://schemas.openxmlformats.org/spreadsheetml/2006/main">
  <authors>
    <author>#</author>
  </authors>
  <commentList>
    <comment ref="B12" authorId="0">
      <text>
        <r>
          <rPr>
            <sz val="9"/>
            <color indexed="81"/>
            <rFont val="Tahoma"/>
            <family val="2"/>
            <charset val="204"/>
          </rPr>
          <t xml:space="preserve">1) Расходы на энергию по извлечению нефти включают затраты на электроэнергию при глубинно-насосной добыче, на сжатый воздух и газ при компрессорной добыче нефти, на природный газ при газлифтном способе добыче нефти.
</t>
        </r>
      </text>
    </comment>
    <comment ref="B13" authorId="0">
      <text>
        <r>
          <rPr>
            <sz val="9"/>
            <color indexed="81"/>
            <rFont val="Tahoma"/>
            <family val="2"/>
            <charset val="204"/>
          </rPr>
          <t xml:space="preserve">2) Расходы по искусственному воздействию на пласт – включают затраты на законтурное, внутриконтурное, очаговое и площадное нагнетание воды, газа, воздуха, а также затрат на проведение работ по увеличению нефтеотдачи пластов.
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3) Основная заработная плата ППП включает затраты на оплату работ по обслуживанию всех скважин, ГЗУ, а также ИТР, непосредственно участвующих в добыче нефти и газа.
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 xml:space="preserve">4) Дополнительная заработная плата – оплата за необработанное время, предусмотренная законом (отпуска, льгот подросткам, матерям и т.д.)
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 xml:space="preserve">5) Отчисления на социальные нужды – по установленной норме от общей суммы основной и дополнительной заработной платы.
</t>
        </r>
      </text>
    </comment>
    <comment ref="B17" authorId="0">
      <text>
        <r>
          <rPr>
            <sz val="9"/>
            <color indexed="81"/>
            <rFont val="Tahoma"/>
            <family val="2"/>
            <charset val="204"/>
          </rPr>
          <t xml:space="preserve">6) Амортизация скважин включает амортизационные отчисления на все виды скважин.
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7) Расходы по сбору и транспортировке нефти и газа – включают затраты на содержание и эксплуатацию сети нефтепроводов, конденсаторов, насосных станций, КС, сепараторных установок дожимных КС и другое оборудование по сбору и транспорт. Сюда включают в пределах нормы стоимость потерь нефти и газа при перекачке и хранении.
</t>
        </r>
      </text>
    </comment>
    <comment ref="B19" authorId="0">
      <text>
        <r>
          <rPr>
            <sz val="9"/>
            <color indexed="81"/>
            <rFont val="Tahoma"/>
            <family val="2"/>
            <charset val="204"/>
          </rPr>
          <t xml:space="preserve">8) Расходы по технологической подготовке нефти – затраты на содержание и эксплуатацию УПК и технологическое оборудование, стоимость реагентов, стоимость технологических потерь нефти по норме, а также расходы на содержание и эксплуатацию поглощающих скважин.
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 xml:space="preserve">9) Расходы по подготовке и освоению производства – состоят из текущих затрат на подготовительные работы, связанные с организацией новых и НГДУ на вводимых в разработку месторождениях. Эти затраты планируют как затраты будущих периодов. Их погашают в срок до одного года со времени начала добычи нефти газа. В эту же статью включают премии за создание и освоение новой техники.
</t>
        </r>
      </text>
    </comment>
    <comment ref="B21" authorId="0">
      <text>
        <r>
          <rPr>
            <sz val="9"/>
            <color indexed="81"/>
            <rFont val="Tahoma"/>
            <family val="2"/>
            <charset val="204"/>
          </rPr>
          <t xml:space="preserve">10) По статье «Расходы на содержание и эксплуатацию оборудования» планируют как расходы по содержанию и текущему ремонту наземного и подземного оборудования скважин, амортизационных отчислений, заработной платы ремонтников, прокат и амортизацию технических средств, используемых при ремонте.
В статью «Расходы на содержание и эксплуатацию оборудования» включаются затраты, связанные с содержанием и эксплуатацией наземного и подземного оборудования нефтяных, газовых, оценочных, наблюдательных и контрольных скважин, а также ремонтом указанных скважин.
На указанную статью относятся:
а) стоимость штанговых насосов как при первоначальной установке, так и при их смене;
б) затраты по подъему и спуску в скважины НКТ, насосных штанг и
электропогружных центробежных насосов;
в) расходы по работам, связанным с изменением погружения штанговых насосов, электропогружных центробежных насосов и лифтовых труб, с устранением песчаных и парафинистых пробок, промывкой забоя скважин, их перфорированием, свабированием, тартанием, и другим работам,
выполняемым в процессе текущего подземного ремонта скважин;
г) затраты на ремонт подземного оборудования: смена и ремонт
штанговых насосов, электропогружных центробежных насосов, плунжеров и
их частей, устранение обрыва или разворота НКТ и насосных штанг и т.д.
д) расходы по ремонту наземного оборудования: станков-
качалок, групповых приводов, фонтанной и компрессорной арматуры,
электромоторов, автотрансформаторов и станций управления
электропогружных центробежных насосов, вышек, мачт, эстакад
морских, оборудования автоматики и телемеханизации;
е) стоимость материалов (переводников и муфт трубных и штанговых,
манометров, запасных частей к средствам автоматики и телемеханизации,
установка которых производится непосредственно в местах эксплуатации
оборудования, смазочных материалов и др.), необходимых для ухода за
оборудованием и содержания его в рабочем состоянии;
ж) амортизационные отчисления от стоимости наземного и подземного оборудования: НКТ, насосных штанг, электропогружных центробежных насосов (в комплекте), станков-качалок, фонтанной и компрессорной арматуры, групповых приводов, электромоторов, вышек, мачт, мерников при скважинах, и другого оборудования, предназначенного для эксплуатации скважин;
з) расходы, связанные с капитальным ремонтом и консервацией скважин, числящихся в составе основных фондов, производимые согласно действующей инструкции по оборудованию устьев и стволов опорных, параметрических, поисковых, разведочных, эксплуатационных, наблюдательных, нагнетательных и специальных скважин при их консервации, утвержденной в установленном порядке.
Затраты по первоначальному монтажу наземного оборудования на скважинах производится за счет средств на капитальные вложения.
Расходы по ремонту скважин относятся только на себестоимость добычи нефти и природного газа по прямому признаку в зависимости от производства работ на нефтяных и газовых скважинах.
Затраты по статье «Расходы на содержание и эксплуатацию оборудования» не включаются в себестоимость попутного газа по причинам, указанным в п.10
</t>
        </r>
      </text>
    </comment>
    <comment ref="B22" authorId="0">
      <text>
        <r>
          <rPr>
            <sz val="9"/>
            <color indexed="81"/>
            <rFont val="Tahoma"/>
            <family val="2"/>
            <charset val="204"/>
          </rPr>
          <t>11) В статью «Общепромысловые расходы» включаются все административно-управленческие расходы по цехам.
Общепроизводственные расходы включают затраты связанные с обслуживанием и управлением НГДП. Они состоят из заработной платы общепроизводственного персонала, командировочных, конторских расходов, расходов по содержанию и ремонту зданий, на охрану труда, подготовку кадров, содержание пожарной охраны и другое. Для определения плановой суммы общепроизводственных расходов составляют смету.
В статью «Общехозяйственные расходы» включаются затраты, связанные с управлением предприятием и организацией производства в целом: фонд оплаты труда персонала управления с отчислениями в фонды социального страхования, расходы на командировки и подъемные при перемещении работников, на служебные разъезды и содержание легкового транспорта, конторские, типографские, почтово-телеграфные и телефонные расходы, амортизация, содержание и ремонт зданий, сооружений и инвентаря общепроизводственного назначения, затраты на содержание, капитальный и текущий ремонт общепромысловых дорог и амортизационные отчисления на их реновацию, расходы на подготовку кадров, плата за экологию, расходы на охрану предприятия и другие расходы общехозяйственного характера.
Общехозяйственные расходы включаются в себестоимость продукции основного производства и в себестоимость той части продукции (работ и услуг) вспомогательного производства, которая выполняется на сторону или для нужд капитального строительства и непромышленных хозяйств предприятия.
В себестоимость внутрипроизводственных (межцеховых) заказов общехозяйственные расходы не включаются.
В себестоимость товаров культурно-бытового назначения и хозяйственного обихода, а также работ (услуг) для собственного капитального строительства и непромышленных хозяйств включается соответствующая доля той части общехозяйственных расходов, которая связана с их производством. Указанная доля определяется в Бизнес-плане предприятия в процентах к цеховой себестоимости товаров, работ и услуг.
Остальная сумма общехозяйственных расходов включается в себестоимость добычи нефти, газа попутного, газа природного, продукции
стабилизации нефти и обессоливания нефти, поставляемой на экспорт, пропорционально общим затратам на их производство за вычетом отчислений, налогов и платежей, отражаемых в статье «Прочие производственные расходы».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12) Встатью «Прочие производственные расходы» включаются оплата нефти, полученной от буровых и геологоразведочных организаций, а также платежи и налоги, возмещаемые в себестоимости добычи нефти (плата за недра, акцизы, отчисления в фонд НИОКР, плата за землю).
Прочие производственные расходы – включаются оплата нефти полученной от буровых и геологоразведочных организаций, а также платежи и налоги, возмещаемые в себестоимости добычи нефти (плата за недра, отчисления в фонд НИОКР, плата за землю и НДПИ).
Сумма затрат по этим 12 статьям образует производственную себестоимость валовой добычи нефти и газа.
Если из нее вычесть затраты на нефть и газ, используемые на собственные нужды, то получим производственную себестоимость товарной продукции.
Полная себестоимость товарной продукции представляет собой сумму производственной себестоимости и «Внепроизводственных расходов».
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>#: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7" authorId="0">
      <text>
        <r>
          <rPr>
            <sz val="9"/>
            <color indexed="81"/>
            <rFont val="Tahoma"/>
            <family val="2"/>
            <charset val="204"/>
          </rPr>
          <t xml:space="preserve">13) «Внепроизводственные расходы» или «Коммерческие расходы» связаны с транспортировкой нефти от товарного парка НГДУ до магистрального нефтепровода, нефтеналивного пункта или емкости покупателя. Эти расходы состоят из амортизационных отчислений нефтепроводов, нефтеналивных устройств, подъездных путей, заработной платы рабочих, обслуживающих нефтепроводы и другие технические средства, расходы на электроэнергию и др.
В статью «Коммерческие расходы» включаютсязатраты,
связанные с транспортировкой нефти от товарного парка нефтегазодобывающего управления до магистрального
нефтепровода управления магистральными нефтепроводами или емкостей
покупателя нефти, а также с транспортировкой нефти от товарного парка до нефтеналивного пункта (эстакады), где производится налив нефти в железнодорожные цистерны.
К таким расходам относятся:
а) амортизационные отчисления от стоимости собственных
нефтепроводов, расположенных между товарным парком и местом передачи
нефти в трубопроводы или емкости покупателя, а также местом налива нефти
в цистерны и др.
б) затраты по содержанию нефтепроводов, нефтеналивных сооружений,
эстакад, насосных станций, находящихся в пункте налива нефти в цистерны
железнодорожных подъездных путей и др.
Перечисленные выше расходы планируются и учитываются в составе затрат цеха подготовки и перекачки нефти (по отдельному планово-учетному подразделению).
Затраты по статье «Коммерческие расходы» включаются полностью в себестоимость добычи нефти.
При определении плановой себестоимости отдельно нефти и попутного газа общие затраты распределяют между ними по строго установленному порядку (см. иллюстрацию по калькуляции себестоимости).
</t>
        </r>
      </text>
    </comment>
    <comment ref="F29" authorId="0">
      <text>
        <r>
          <rPr>
            <sz val="9"/>
            <color indexed="81"/>
            <rFont val="Tahoma"/>
            <family val="2"/>
            <charset val="204"/>
          </rPr>
          <t xml:space="preserve">Размер дополнительных эксплуатационных затратопределяется произведением суммы условно-переменных статей калькуляции себестоимости одной тонны нефти на дополнительный годовой объем добычи нефти.
К условно-переменным затратам относятся те статьи затрат калькуляции себестоимости нефти, которые прямо зависят от количества добытой нефти.
Этими статьями являются:
- расходы на электроэнергию, затраченную на извлечение нефти;
- расходы по искусственному воздействию на пласт;
- расходы по сбору и транспорту нефти;
- расходы по технологической подготовке нефти;
- расходы на содержание и эксплуатацию оборудования.
Каждая из перечисленных выше статей являются комплексной, т. е. состоит из нескольких элементов затрат, часть которых с ростом добычи не изменяется. Поэтому, при подсчете дополнительных затрат применяют коэффициент - 0,6, а сумму дополнительных эксплуатационных затрат вычисляют по следующей формуле:
∆З = 0,6 ∙(№1 + №2 +№7 + №8 + №10) ∙ ∆Q, руб., (13)
где: (№1 +№2 + №7 + №8 + №10) - сумма условно-переменных затрат статей калькуляции себестоимости 1 тонны нефти до внедрения мероприятия, руб;
0,6 - коэффициент, учитывающий, что каждая из перечисленных статей возрастает не прямо пропорционально возросшей годовой добыче нефти;
  Q - дополнительная добыча нефти, тонн.
</t>
        </r>
      </text>
    </comment>
  </commentList>
</comments>
</file>

<file path=xl/sharedStrings.xml><?xml version="1.0" encoding="utf-8"?>
<sst xmlns="http://schemas.openxmlformats.org/spreadsheetml/2006/main" count="77" uniqueCount="72">
  <si>
    <t>2. Расходы по искусственному воздействию на пласт</t>
  </si>
  <si>
    <t>3. Основная зарплата производственных рабочих</t>
  </si>
  <si>
    <t>4. Дополнительная зарплата производственных рабочих</t>
  </si>
  <si>
    <t>5. Отчисление на социальное страхование</t>
  </si>
  <si>
    <t>8. Расходы по технологической подготовке нефти</t>
  </si>
  <si>
    <t>9. Расходы на подготовку и освоение производства</t>
  </si>
  <si>
    <t>Производственная себестоимость валовой продукции</t>
  </si>
  <si>
    <t>Полная себестоимость товарной продукции</t>
  </si>
  <si>
    <t>тыс.руб</t>
  </si>
  <si>
    <t>руб/т</t>
  </si>
  <si>
    <t>http://vunivere.ru/work31845</t>
  </si>
  <si>
    <t>по пласту Б</t>
  </si>
  <si>
    <t>Показатели</t>
  </si>
  <si>
    <t>3.Действующий фонд</t>
  </si>
  <si>
    <t>Полная себестоимость одной тонны       руб</t>
  </si>
  <si>
    <t>1.Годовой объем жидкости  тыс.т</t>
  </si>
  <si>
    <t>2.Годовой объем нефти  тыс.т</t>
  </si>
  <si>
    <t>по ЦДНГ</t>
  </si>
  <si>
    <t>Условно-постоянные</t>
  </si>
  <si>
    <t>Условно-переменные</t>
  </si>
  <si>
    <t>10. Расходы на содержание и эксплуатацию оборудования</t>
  </si>
  <si>
    <t>1. Расходы на энергию по извлечению нефти</t>
  </si>
  <si>
    <t>6. Амортизация скважин</t>
  </si>
  <si>
    <t>7. Расходы сбору и транспортировке нефти</t>
  </si>
  <si>
    <t>12. Прочие производственные расходы</t>
  </si>
  <si>
    <t>Производственная себестоимость товарной продукции</t>
  </si>
  <si>
    <t>Производственная себестоимость продукц. на собственные нужды</t>
  </si>
  <si>
    <t>Внепроизводственные расходы (комерческие)</t>
  </si>
  <si>
    <t>до ГТМ</t>
  </si>
  <si>
    <t>после ГТМ</t>
  </si>
  <si>
    <t>11.Общепроизводственные</t>
  </si>
  <si>
    <t>+  -</t>
  </si>
  <si>
    <t>Калькуляция себестоимости по ЦДНГ - 2</t>
  </si>
  <si>
    <t>Месяцы</t>
  </si>
  <si>
    <t>всего</t>
  </si>
  <si>
    <t>Дни</t>
  </si>
  <si>
    <t>Добыча нефти за счет ГТМ (СКО)  т.</t>
  </si>
  <si>
    <t>дебит</t>
  </si>
  <si>
    <t>Выручка</t>
  </si>
  <si>
    <t>Капитальные затраты</t>
  </si>
  <si>
    <t>Налоги</t>
  </si>
  <si>
    <t>Поток наличности (CF)</t>
  </si>
  <si>
    <t>NPV</t>
  </si>
  <si>
    <t>NPV накопленным итогом</t>
  </si>
  <si>
    <t>IRR</t>
  </si>
  <si>
    <t>PI</t>
  </si>
  <si>
    <t>DPP (мес)</t>
  </si>
  <si>
    <t>Исходные данные</t>
  </si>
  <si>
    <t>количество обработок</t>
  </si>
  <si>
    <t>коэффициент эксплуатации</t>
  </si>
  <si>
    <t>цена нефти руб/т</t>
  </si>
  <si>
    <t>стоимость КРС на одну скважину  руб/скв</t>
  </si>
  <si>
    <t>условно-переменые   руб/на 1т/нефти  (65%от себест)</t>
  </si>
  <si>
    <t>ставка налога на прибыль   %</t>
  </si>
  <si>
    <t>норматив прочих налогов</t>
  </si>
  <si>
    <t>ставка   %</t>
  </si>
  <si>
    <t>коэффициент изменения дебита нефти</t>
  </si>
  <si>
    <t>себестоимость добычи 1т нефти руб.</t>
  </si>
  <si>
    <t>дебита нефти (прирост)    т/сут</t>
  </si>
  <si>
    <t>Год</t>
  </si>
  <si>
    <t>Месяц</t>
  </si>
  <si>
    <t>Qж.нак</t>
  </si>
  <si>
    <t>Qн.нак</t>
  </si>
  <si>
    <t>f(Qж.нак)</t>
  </si>
  <si>
    <t>Доп. добыча, т.</t>
  </si>
  <si>
    <t>Время эффекта, мес.</t>
  </si>
  <si>
    <t>Обв-ть</t>
  </si>
  <si>
    <t>Эксплуат. затраты на доп. нефть</t>
  </si>
  <si>
    <t>Годовая прибыль  от ГТМ                     руб</t>
  </si>
  <si>
    <t>Эффетивность ГТМ</t>
  </si>
  <si>
    <t>Дебит qн, т/сут</t>
  </si>
  <si>
    <t>Скважина №38 Матросовского месторождения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</si>
</sst>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_ ;[Red]\-#,##0\ "/>
    <numFmt numFmtId="168" formatCode="_-* #,##0.0_р_._-;\-* #,##0.0_р_._-;_-* &quot;-&quot;??_р_._-;_-@_-"/>
    <numFmt numFmtId="169" formatCode="0.000"/>
    <numFmt numFmtId="170" formatCode="_-* #,##0_р_._-;\-* #,##0_р_._-;_-* &quot;-&quot;??_р_._-;_-@_-"/>
  </numFmts>
  <fonts count="32"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color rgb="FF3A3A3A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2D610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7.5"/>
      <color theme="1"/>
      <name val="Times New Roman"/>
      <family val="1"/>
      <charset val="204"/>
    </font>
    <font>
      <b/>
      <sz val="11"/>
      <color rgb="FF3A3A3A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3A3A3A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4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FFD8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1" xfId="0" applyFill="1" applyBorder="1"/>
    <xf numFmtId="164" fontId="0" fillId="0" borderId="0" xfId="0" applyNumberFormat="1" applyFill="1"/>
    <xf numFmtId="0" fontId="0" fillId="0" borderId="0" xfId="0" applyBorder="1"/>
    <xf numFmtId="0" fontId="0" fillId="0" borderId="8" xfId="0" applyFill="1" applyBorder="1"/>
    <xf numFmtId="165" fontId="0" fillId="0" borderId="0" xfId="0" applyNumberFormat="1"/>
    <xf numFmtId="0" fontId="8" fillId="2" borderId="1" xfId="0" applyFont="1" applyFill="1" applyBorder="1" applyProtection="1">
      <protection locked="0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3" fontId="9" fillId="2" borderId="1" xfId="0" applyNumberFormat="1" applyFont="1" applyFill="1" applyBorder="1"/>
    <xf numFmtId="0" fontId="8" fillId="2" borderId="1" xfId="0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/>
    <xf numFmtId="0" fontId="0" fillId="0" borderId="14" xfId="0" applyBorder="1" applyAlignment="1"/>
    <xf numFmtId="0" fontId="0" fillId="0" borderId="15" xfId="0" applyBorder="1" applyAlignment="1"/>
    <xf numFmtId="3" fontId="12" fillId="0" borderId="1" xfId="0" applyNumberFormat="1" applyFont="1" applyFill="1" applyBorder="1"/>
    <xf numFmtId="3" fontId="13" fillId="0" borderId="1" xfId="0" applyNumberFormat="1" applyFont="1" applyFill="1" applyBorder="1"/>
    <xf numFmtId="3" fontId="9" fillId="0" borderId="1" xfId="0" applyNumberFormat="1" applyFont="1" applyFill="1" applyBorder="1" applyProtection="1">
      <protection locked="0"/>
    </xf>
    <xf numFmtId="165" fontId="14" fillId="3" borderId="1" xfId="0" applyNumberFormat="1" applyFont="1" applyFill="1" applyBorder="1" applyProtection="1">
      <protection hidden="1"/>
    </xf>
    <xf numFmtId="3" fontId="13" fillId="3" borderId="1" xfId="0" applyNumberFormat="1" applyFont="1" applyFill="1" applyBorder="1" applyProtection="1">
      <protection hidden="1"/>
    </xf>
    <xf numFmtId="4" fontId="15" fillId="4" borderId="1" xfId="0" applyNumberFormat="1" applyFont="1" applyFill="1" applyBorder="1" applyProtection="1">
      <protection hidden="1"/>
    </xf>
    <xf numFmtId="4" fontId="15" fillId="3" borderId="1" xfId="0" applyNumberFormat="1" applyFont="1" applyFill="1" applyBorder="1" applyProtection="1">
      <protection hidden="1"/>
    </xf>
    <xf numFmtId="0" fontId="8" fillId="0" borderId="1" xfId="0" applyFont="1" applyFill="1" applyBorder="1"/>
    <xf numFmtId="3" fontId="14" fillId="3" borderId="1" xfId="0" applyNumberFormat="1" applyFont="1" applyFill="1" applyBorder="1" applyProtection="1">
      <protection hidden="1"/>
    </xf>
    <xf numFmtId="3" fontId="16" fillId="3" borderId="1" xfId="0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3" fontId="15" fillId="4" borderId="1" xfId="0" applyNumberFormat="1" applyFont="1" applyFill="1" applyBorder="1" applyProtection="1">
      <protection hidden="1"/>
    </xf>
    <xf numFmtId="3" fontId="15" fillId="3" borderId="1" xfId="0" applyNumberFormat="1" applyFont="1" applyFill="1" applyBorder="1" applyProtection="1">
      <protection hidden="1"/>
    </xf>
    <xf numFmtId="3" fontId="13" fillId="5" borderId="1" xfId="0" applyNumberFormat="1" applyFont="1" applyFill="1" applyBorder="1" applyProtection="1">
      <protection hidden="1"/>
    </xf>
    <xf numFmtId="166" fontId="17" fillId="6" borderId="1" xfId="0" applyNumberFormat="1" applyFont="1" applyFill="1" applyBorder="1" applyAlignment="1" applyProtection="1">
      <alignment horizontal="right" vertical="center"/>
      <protection hidden="1"/>
    </xf>
    <xf numFmtId="167" fontId="0" fillId="0" borderId="0" xfId="0" applyNumberFormat="1"/>
    <xf numFmtId="168" fontId="13" fillId="6" borderId="1" xfId="2" applyNumberFormat="1" applyFont="1" applyFill="1" applyBorder="1" applyProtection="1">
      <protection hidden="1"/>
    </xf>
    <xf numFmtId="0" fontId="8" fillId="0" borderId="0" xfId="0" applyFont="1" applyFill="1"/>
    <xf numFmtId="2" fontId="8" fillId="0" borderId="0" xfId="0" applyNumberFormat="1" applyFont="1" applyFill="1"/>
    <xf numFmtId="4" fontId="8" fillId="0" borderId="0" xfId="0" applyNumberFormat="1" applyFont="1" applyFill="1"/>
    <xf numFmtId="0" fontId="18" fillId="7" borderId="11" xfId="0" applyFont="1" applyFill="1" applyBorder="1" applyAlignment="1" applyProtection="1">
      <protection locked="0"/>
    </xf>
    <xf numFmtId="0" fontId="18" fillId="7" borderId="11" xfId="0" applyFont="1" applyFill="1" applyBorder="1" applyAlignment="1"/>
    <xf numFmtId="0" fontId="8" fillId="4" borderId="1" xfId="0" applyFont="1" applyFill="1" applyBorder="1" applyProtection="1">
      <protection locked="0"/>
    </xf>
    <xf numFmtId="164" fontId="8" fillId="4" borderId="1" xfId="0" applyNumberFormat="1" applyFont="1" applyFill="1" applyBorder="1" applyProtection="1">
      <protection locked="0"/>
    </xf>
    <xf numFmtId="3" fontId="9" fillId="4" borderId="1" xfId="0" applyNumberFormat="1" applyFont="1" applyFill="1" applyBorder="1" applyProtection="1">
      <protection locked="0"/>
    </xf>
    <xf numFmtId="3" fontId="12" fillId="4" borderId="1" xfId="0" applyNumberFormat="1" applyFont="1" applyFill="1" applyBorder="1" applyProtection="1">
      <protection hidden="1"/>
    </xf>
    <xf numFmtId="9" fontId="9" fillId="4" borderId="1" xfId="3" applyFont="1" applyFill="1" applyBorder="1" applyProtection="1">
      <protection locked="0"/>
    </xf>
    <xf numFmtId="166" fontId="9" fillId="4" borderId="1" xfId="3" applyNumberFormat="1" applyFont="1" applyFill="1" applyBorder="1" applyProtection="1">
      <protection locked="0"/>
    </xf>
    <xf numFmtId="164" fontId="19" fillId="0" borderId="0" xfId="0" applyNumberFormat="1" applyFont="1"/>
    <xf numFmtId="166" fontId="9" fillId="3" borderId="1" xfId="3" applyNumberFormat="1" applyFont="1" applyFill="1" applyBorder="1" applyProtection="1">
      <protection locked="0"/>
    </xf>
    <xf numFmtId="0" fontId="11" fillId="0" borderId="13" xfId="0" applyFont="1" applyFill="1" applyBorder="1" applyAlignment="1" applyProtection="1">
      <protection locked="0"/>
    </xf>
    <xf numFmtId="169" fontId="9" fillId="0" borderId="1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left" vertical="top" wrapText="1" indent="3"/>
      <protection locked="0"/>
    </xf>
    <xf numFmtId="0" fontId="2" fillId="0" borderId="7" xfId="0" applyFont="1" applyFill="1" applyBorder="1" applyAlignment="1" applyProtection="1">
      <alignment horizontal="left" vertical="top" wrapText="1" indent="3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22" fillId="0" borderId="2" xfId="0" applyFont="1" applyFill="1" applyBorder="1" applyAlignment="1" applyProtection="1"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/>
    <xf numFmtId="0" fontId="22" fillId="0" borderId="1" xfId="0" applyFont="1" applyFill="1" applyBorder="1"/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6" xfId="0" quotePrefix="1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Protection="1">
      <protection locked="0"/>
    </xf>
    <xf numFmtId="3" fontId="22" fillId="0" borderId="1" xfId="0" applyNumberFormat="1" applyFont="1" applyFill="1" applyBorder="1" applyProtection="1">
      <protection locked="0"/>
    </xf>
    <xf numFmtId="3" fontId="22" fillId="0" borderId="1" xfId="0" applyNumberFormat="1" applyFont="1" applyFill="1" applyBorder="1" applyAlignment="1" applyProtection="1">
      <alignment horizontal="right"/>
      <protection locked="0"/>
    </xf>
    <xf numFmtId="0" fontId="22" fillId="0" borderId="1" xfId="0" applyFont="1" applyBorder="1"/>
    <xf numFmtId="0" fontId="22" fillId="0" borderId="6" xfId="0" applyFont="1" applyBorder="1"/>
    <xf numFmtId="165" fontId="22" fillId="0" borderId="1" xfId="0" applyNumberFormat="1" applyFont="1" applyFill="1" applyBorder="1" applyAlignment="1" applyProtection="1">
      <alignment horizontal="right"/>
      <protection locked="0"/>
    </xf>
    <xf numFmtId="164" fontId="23" fillId="0" borderId="1" xfId="0" applyNumberFormat="1" applyFont="1" applyFill="1" applyBorder="1" applyProtection="1">
      <protection hidden="1"/>
    </xf>
    <xf numFmtId="165" fontId="22" fillId="0" borderId="6" xfId="0" applyNumberFormat="1" applyFont="1" applyFill="1" applyBorder="1" applyAlignment="1" applyProtection="1">
      <alignment horizontal="right"/>
      <protection locked="0"/>
    </xf>
    <xf numFmtId="0" fontId="23" fillId="0" borderId="1" xfId="0" applyFont="1" applyFill="1" applyBorder="1" applyProtection="1">
      <protection hidden="1"/>
    </xf>
    <xf numFmtId="165" fontId="23" fillId="0" borderId="1" xfId="0" applyNumberFormat="1" applyFont="1" applyFill="1" applyBorder="1" applyProtection="1">
      <protection hidden="1"/>
    </xf>
    <xf numFmtId="164" fontId="23" fillId="0" borderId="6" xfId="0" applyNumberFormat="1" applyFont="1" applyFill="1" applyBorder="1" applyProtection="1">
      <protection hidden="1"/>
    </xf>
    <xf numFmtId="0" fontId="22" fillId="0" borderId="7" xfId="0" applyFont="1" applyFill="1" applyBorder="1" applyProtection="1">
      <protection locked="0"/>
    </xf>
    <xf numFmtId="0" fontId="22" fillId="0" borderId="8" xfId="0" applyFont="1" applyBorder="1"/>
    <xf numFmtId="0" fontId="23" fillId="0" borderId="8" xfId="0" applyFont="1" applyFill="1" applyBorder="1"/>
    <xf numFmtId="3" fontId="23" fillId="0" borderId="9" xfId="0" applyNumberFormat="1" applyFont="1" applyFill="1" applyBorder="1" applyProtection="1">
      <protection hidden="1"/>
    </xf>
    <xf numFmtId="0" fontId="24" fillId="0" borderId="0" xfId="1" applyFont="1" applyAlignment="1" applyProtection="1"/>
    <xf numFmtId="0" fontId="22" fillId="0" borderId="0" xfId="0" applyFont="1"/>
    <xf numFmtId="0" fontId="22" fillId="0" borderId="4" xfId="0" applyFont="1" applyFill="1" applyBorder="1" applyProtection="1">
      <protection locked="0"/>
    </xf>
    <xf numFmtId="0" fontId="22" fillId="0" borderId="1" xfId="0" applyFont="1" applyFill="1" applyBorder="1" applyProtection="1">
      <protection locked="0"/>
    </xf>
    <xf numFmtId="0" fontId="22" fillId="0" borderId="6" xfId="0" applyFont="1" applyFill="1" applyBorder="1" applyProtection="1">
      <protection locked="0"/>
    </xf>
    <xf numFmtId="0" fontId="26" fillId="0" borderId="5" xfId="0" applyFont="1" applyFill="1" applyBorder="1" applyAlignment="1" applyProtection="1">
      <alignment vertical="top" wrapText="1"/>
      <protection locked="0"/>
    </xf>
    <xf numFmtId="0" fontId="27" fillId="0" borderId="5" xfId="0" applyFont="1" applyFill="1" applyBorder="1" applyAlignment="1" applyProtection="1">
      <alignment vertical="top" wrapText="1"/>
      <protection locked="0"/>
    </xf>
    <xf numFmtId="2" fontId="23" fillId="0" borderId="1" xfId="0" applyNumberFormat="1" applyFont="1" applyFill="1" applyBorder="1" applyProtection="1">
      <protection hidden="1"/>
    </xf>
    <xf numFmtId="3" fontId="23" fillId="0" borderId="1" xfId="0" applyNumberFormat="1" applyFont="1" applyFill="1" applyBorder="1" applyAlignment="1" applyProtection="1">
      <alignment horizontal="right"/>
      <protection hidden="1"/>
    </xf>
    <xf numFmtId="0" fontId="27" fillId="0" borderId="5" xfId="0" applyFont="1" applyFill="1" applyBorder="1" applyAlignment="1" applyProtection="1">
      <alignment horizontal="left" vertical="top" wrapText="1" indent="3"/>
      <protection locked="0"/>
    </xf>
    <xf numFmtId="164" fontId="22" fillId="0" borderId="1" xfId="0" applyNumberFormat="1" applyFont="1" applyFill="1" applyBorder="1" applyAlignment="1" applyProtection="1">
      <alignment horizontal="right"/>
      <protection locked="0"/>
    </xf>
    <xf numFmtId="2" fontId="23" fillId="0" borderId="6" xfId="0" applyNumberFormat="1" applyFont="1" applyFill="1" applyBorder="1" applyProtection="1">
      <protection hidden="1"/>
    </xf>
    <xf numFmtId="0" fontId="28" fillId="0" borderId="0" xfId="0" applyFont="1"/>
    <xf numFmtId="0" fontId="26" fillId="0" borderId="9" xfId="0" applyFont="1" applyFill="1" applyBorder="1" applyAlignment="1" applyProtection="1">
      <alignment vertical="top" wrapText="1"/>
      <protection locked="0"/>
    </xf>
    <xf numFmtId="0" fontId="3" fillId="0" borderId="0" xfId="1" applyAlignment="1" applyProtection="1">
      <alignment horizontal="left" vertical="center"/>
      <protection locked="0"/>
    </xf>
    <xf numFmtId="0" fontId="29" fillId="0" borderId="0" xfId="0" applyFont="1"/>
    <xf numFmtId="0" fontId="30" fillId="0" borderId="0" xfId="1" applyFont="1" applyAlignment="1" applyProtection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1" fontId="20" fillId="0" borderId="5" xfId="0" applyNumberFormat="1" applyFont="1" applyBorder="1" applyAlignment="1">
      <alignment wrapText="1"/>
    </xf>
    <xf numFmtId="1" fontId="20" fillId="0" borderId="1" xfId="0" applyNumberFormat="1" applyFont="1" applyBorder="1" applyAlignment="1">
      <alignment wrapText="1"/>
    </xf>
    <xf numFmtId="2" fontId="20" fillId="0" borderId="1" xfId="0" applyNumberFormat="1" applyFont="1" applyBorder="1" applyAlignment="1">
      <alignment wrapText="1"/>
    </xf>
    <xf numFmtId="2" fontId="20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4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wrapText="1"/>
    </xf>
    <xf numFmtId="0" fontId="0" fillId="0" borderId="1" xfId="0" applyBorder="1"/>
    <xf numFmtId="2" fontId="0" fillId="0" borderId="6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" fontId="20" fillId="0" borderId="7" xfId="0" applyNumberFormat="1" applyFont="1" applyBorder="1" applyAlignment="1">
      <alignment wrapText="1"/>
    </xf>
    <xf numFmtId="1" fontId="20" fillId="0" borderId="8" xfId="0" applyNumberFormat="1" applyFont="1" applyBorder="1" applyAlignment="1">
      <alignment wrapText="1"/>
    </xf>
    <xf numFmtId="2" fontId="20" fillId="0" borderId="8" xfId="0" applyNumberFormat="1" applyFont="1" applyBorder="1" applyAlignment="1">
      <alignment wrapText="1"/>
    </xf>
    <xf numFmtId="2" fontId="0" fillId="0" borderId="8" xfId="0" applyNumberFormat="1" applyBorder="1" applyAlignment="1">
      <alignment wrapText="1"/>
    </xf>
    <xf numFmtId="1" fontId="0" fillId="0" borderId="8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0" fontId="22" fillId="0" borderId="3" xfId="0" applyFont="1" applyFill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protection locked="0"/>
    </xf>
    <xf numFmtId="0" fontId="22" fillId="0" borderId="4" xfId="0" applyFont="1" applyBorder="1" applyAlignment="1" applyProtection="1">
      <protection locked="0"/>
    </xf>
    <xf numFmtId="0" fontId="25" fillId="0" borderId="2" xfId="0" applyFont="1" applyFill="1" applyBorder="1" applyAlignment="1" applyProtection="1">
      <protection locked="0"/>
    </xf>
    <xf numFmtId="0" fontId="22" fillId="0" borderId="5" xfId="0" applyFont="1" applyBorder="1" applyProtection="1">
      <protection locked="0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Border="1"/>
    <xf numFmtId="0" fontId="11" fillId="0" borderId="13" xfId="0" applyFont="1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1" fillId="0" borderId="13" xfId="0" applyFont="1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28" fillId="0" borderId="0" xfId="0" applyFont="1" applyAlignment="1"/>
    <xf numFmtId="0" fontId="0" fillId="0" borderId="0" xfId="0" applyAlignment="1"/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justify"/>
    </xf>
    <xf numFmtId="0" fontId="0" fillId="0" borderId="0" xfId="0" applyAlignment="1">
      <alignment horizontal="justify"/>
    </xf>
    <xf numFmtId="170" fontId="1" fillId="0" borderId="0" xfId="2" applyNumberFormat="1" applyFont="1"/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NPV</a:t>
            </a:r>
            <a:endParaRPr lang="ru-RU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шоршг</c:v>
          </c:tx>
          <c:marker>
            <c:symbol val="none"/>
          </c:marker>
          <c:xVal>
            <c:numRef>
              <c:f>NPV!$G$2:$S$2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NPV!$G$13:$S$13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-2463663.8181818184</c:v>
                </c:pt>
                <c:pt idx="2">
                  <c:v>-893712.98181818216</c:v>
                </c:pt>
                <c:pt idx="3">
                  <c:v>496814.90181818162</c:v>
                </c:pt>
                <c:pt idx="4">
                  <c:v>1573352.6181818182</c:v>
                </c:pt>
                <c:pt idx="5">
                  <c:v>2463290.4637090908</c:v>
                </c:pt>
                <c:pt idx="6">
                  <c:v>3152274.6021818183</c:v>
                </c:pt>
                <c:pt idx="7">
                  <c:v>3721834.8233192731</c:v>
                </c:pt>
                <c:pt idx="8">
                  <c:v>4177483.0002292367</c:v>
                </c:pt>
                <c:pt idx="9">
                  <c:v>4530242.8791272733</c:v>
                </c:pt>
                <c:pt idx="10">
                  <c:v>4821857.7123496505</c:v>
                </c:pt>
                <c:pt idx="11">
                  <c:v>5047624.0348443938</c:v>
                </c:pt>
                <c:pt idx="12">
                  <c:v>5234257.5281067146</c:v>
                </c:pt>
              </c:numCache>
            </c:numRef>
          </c:yVal>
          <c:smooth val="1"/>
        </c:ser>
        <c:axId val="56533376"/>
        <c:axId val="56535296"/>
      </c:scatterChart>
      <c:valAx>
        <c:axId val="56533376"/>
        <c:scaling>
          <c:orientation val="minMax"/>
        </c:scaling>
        <c:axPos val="b"/>
        <c:numFmt formatCode="General" sourceLinked="1"/>
        <c:tickLblPos val="nextTo"/>
        <c:crossAx val="56535296"/>
        <c:crosses val="autoZero"/>
        <c:crossBetween val="midCat"/>
        <c:majorUnit val="1"/>
      </c:valAx>
      <c:valAx>
        <c:axId val="56535296"/>
        <c:scaling>
          <c:orientation val="minMax"/>
        </c:scaling>
        <c:axPos val="l"/>
        <c:majorGridlines/>
        <c:numFmt formatCode="#,##0" sourceLinked="0"/>
        <c:tickLblPos val="nextTo"/>
        <c:crossAx val="56533376"/>
        <c:crossesAt val="0"/>
        <c:crossBetween val="midCat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[1]сазонова!$F$3:$F$38</c:f>
              <c:numCache>
                <c:formatCode>General</c:formatCode>
                <c:ptCount val="36"/>
                <c:pt idx="0">
                  <c:v>3.2533259999999999</c:v>
                </c:pt>
                <c:pt idx="1">
                  <c:v>3.722467</c:v>
                </c:pt>
                <c:pt idx="2">
                  <c:v>4.0165629999999997</c:v>
                </c:pt>
                <c:pt idx="3">
                  <c:v>4.2162009999999999</c:v>
                </c:pt>
                <c:pt idx="4">
                  <c:v>4.4159689999999996</c:v>
                </c:pt>
                <c:pt idx="5">
                  <c:v>4.5781700000000001</c:v>
                </c:pt>
                <c:pt idx="6">
                  <c:v>4.7041380000000004</c:v>
                </c:pt>
                <c:pt idx="7">
                  <c:v>4.8164569999999998</c:v>
                </c:pt>
                <c:pt idx="8">
                  <c:v>4.9217550000000001</c:v>
                </c:pt>
                <c:pt idx="9">
                  <c:v>5.0149860000000004</c:v>
                </c:pt>
                <c:pt idx="10">
                  <c:v>5.1024269999999996</c:v>
                </c:pt>
                <c:pt idx="11">
                  <c:v>5.4691090000000004</c:v>
                </c:pt>
                <c:pt idx="12">
                  <c:v>5.5495850000000004</c:v>
                </c:pt>
                <c:pt idx="13">
                  <c:v>5.6246539999999996</c:v>
                </c:pt>
                <c:pt idx="14">
                  <c:v>5.7157869999999997</c:v>
                </c:pt>
                <c:pt idx="15">
                  <c:v>5.8224729999999996</c:v>
                </c:pt>
                <c:pt idx="16">
                  <c:v>5.8860140000000003</c:v>
                </c:pt>
                <c:pt idx="17">
                  <c:v>5.9416820000000001</c:v>
                </c:pt>
                <c:pt idx="18">
                  <c:v>5.9970949999999998</c:v>
                </c:pt>
                <c:pt idx="19">
                  <c:v>6.2650990000000002</c:v>
                </c:pt>
                <c:pt idx="20">
                  <c:v>6.4707889999999999</c:v>
                </c:pt>
                <c:pt idx="21">
                  <c:v>6.6943760000000001</c:v>
                </c:pt>
                <c:pt idx="22">
                  <c:v>6.8616250000000001</c:v>
                </c:pt>
                <c:pt idx="23">
                  <c:v>6.9120879999999998</c:v>
                </c:pt>
                <c:pt idx="24">
                  <c:v>6.9586209999999999</c:v>
                </c:pt>
                <c:pt idx="25">
                  <c:v>7.0033310000000002</c:v>
                </c:pt>
                <c:pt idx="26">
                  <c:v>7.0477460000000001</c:v>
                </c:pt>
                <c:pt idx="27">
                  <c:v>7.0730649999999997</c:v>
                </c:pt>
                <c:pt idx="28">
                  <c:v>7.1027680000000002</c:v>
                </c:pt>
                <c:pt idx="29">
                  <c:v>7.1294950000000004</c:v>
                </c:pt>
                <c:pt idx="30">
                  <c:v>7.1564930000000002</c:v>
                </c:pt>
                <c:pt idx="31">
                  <c:v>7.1821739999999998</c:v>
                </c:pt>
                <c:pt idx="32">
                  <c:v>7.2083459999999997</c:v>
                </c:pt>
                <c:pt idx="33">
                  <c:v>7.2362390000000003</c:v>
                </c:pt>
                <c:pt idx="34">
                  <c:v>7.2644799999999998</c:v>
                </c:pt>
                <c:pt idx="35">
                  <c:v>7.2922219999999998</c:v>
                </c:pt>
              </c:numCache>
            </c:numRef>
          </c:xVal>
          <c:yVal>
            <c:numRef>
              <c:f>[1]сазонова!$E$3:$E$38</c:f>
              <c:numCache>
                <c:formatCode>General</c:formatCode>
                <c:ptCount val="36"/>
                <c:pt idx="0">
                  <c:v>235.4778</c:v>
                </c:pt>
                <c:pt idx="1">
                  <c:v>478.4778</c:v>
                </c:pt>
                <c:pt idx="2">
                  <c:v>713.9556</c:v>
                </c:pt>
                <c:pt idx="3">
                  <c:v>844.60069999999996</c:v>
                </c:pt>
                <c:pt idx="4">
                  <c:v>1002.101</c:v>
                </c:pt>
                <c:pt idx="5">
                  <c:v>1110.1010000000001</c:v>
                </c:pt>
                <c:pt idx="6">
                  <c:v>1194.452</c:v>
                </c:pt>
                <c:pt idx="7">
                  <c:v>1256.0830000000001</c:v>
                </c:pt>
                <c:pt idx="8">
                  <c:v>1319.701</c:v>
                </c:pt>
                <c:pt idx="9">
                  <c:v>1409.701</c:v>
                </c:pt>
                <c:pt idx="10">
                  <c:v>1459.39</c:v>
                </c:pt>
                <c:pt idx="11">
                  <c:v>1673.741</c:v>
                </c:pt>
                <c:pt idx="12">
                  <c:v>1755.8820000000001</c:v>
                </c:pt>
                <c:pt idx="13">
                  <c:v>1837.221</c:v>
                </c:pt>
                <c:pt idx="14">
                  <c:v>1997.816</c:v>
                </c:pt>
                <c:pt idx="15">
                  <c:v>2189.8159999999998</c:v>
                </c:pt>
                <c:pt idx="16">
                  <c:v>2234.9499999999998</c:v>
                </c:pt>
                <c:pt idx="17">
                  <c:v>2264.1390000000001</c:v>
                </c:pt>
                <c:pt idx="18">
                  <c:v>2294.223</c:v>
                </c:pt>
                <c:pt idx="19">
                  <c:v>2424.1480000000001</c:v>
                </c:pt>
                <c:pt idx="20">
                  <c:v>2467.6370000000002</c:v>
                </c:pt>
                <c:pt idx="21">
                  <c:v>2522.0909999999999</c:v>
                </c:pt>
                <c:pt idx="22">
                  <c:v>2741.752</c:v>
                </c:pt>
                <c:pt idx="23">
                  <c:v>2850.0529999999999</c:v>
                </c:pt>
                <c:pt idx="24">
                  <c:v>2961.681</c:v>
                </c:pt>
                <c:pt idx="25">
                  <c:v>3060.3609999999999</c:v>
                </c:pt>
                <c:pt idx="26">
                  <c:v>3161.087</c:v>
                </c:pt>
                <c:pt idx="27">
                  <c:v>3219.7289999999998</c:v>
                </c:pt>
                <c:pt idx="28">
                  <c:v>3284.4969999999998</c:v>
                </c:pt>
                <c:pt idx="29">
                  <c:v>3334.3879999999999</c:v>
                </c:pt>
                <c:pt idx="30">
                  <c:v>3385.6010000000001</c:v>
                </c:pt>
                <c:pt idx="31">
                  <c:v>3435.0889999999999</c:v>
                </c:pt>
                <c:pt idx="32">
                  <c:v>3486.3029999999999</c:v>
                </c:pt>
                <c:pt idx="33">
                  <c:v>3542.0639999999999</c:v>
                </c:pt>
                <c:pt idx="34">
                  <c:v>3599.462</c:v>
                </c:pt>
                <c:pt idx="35">
                  <c:v>3656.7809999999999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[1]сазонова!$F$3:$F$38</c:f>
              <c:numCache>
                <c:formatCode>General</c:formatCode>
                <c:ptCount val="36"/>
                <c:pt idx="0">
                  <c:v>3.2533259999999999</c:v>
                </c:pt>
                <c:pt idx="1">
                  <c:v>3.722467</c:v>
                </c:pt>
                <c:pt idx="2">
                  <c:v>4.0165629999999997</c:v>
                </c:pt>
                <c:pt idx="3">
                  <c:v>4.2162009999999999</c:v>
                </c:pt>
                <c:pt idx="4">
                  <c:v>4.4159689999999996</c:v>
                </c:pt>
                <c:pt idx="5">
                  <c:v>4.5781700000000001</c:v>
                </c:pt>
                <c:pt idx="6">
                  <c:v>4.7041380000000004</c:v>
                </c:pt>
                <c:pt idx="7">
                  <c:v>4.8164569999999998</c:v>
                </c:pt>
                <c:pt idx="8">
                  <c:v>4.9217550000000001</c:v>
                </c:pt>
                <c:pt idx="9">
                  <c:v>5.0149860000000004</c:v>
                </c:pt>
                <c:pt idx="10">
                  <c:v>5.1024269999999996</c:v>
                </c:pt>
                <c:pt idx="11">
                  <c:v>5.4691090000000004</c:v>
                </c:pt>
                <c:pt idx="12">
                  <c:v>5.5495850000000004</c:v>
                </c:pt>
                <c:pt idx="13">
                  <c:v>5.6246539999999996</c:v>
                </c:pt>
                <c:pt idx="14">
                  <c:v>5.7157869999999997</c:v>
                </c:pt>
                <c:pt idx="15">
                  <c:v>5.8224729999999996</c:v>
                </c:pt>
                <c:pt idx="16">
                  <c:v>5.8860140000000003</c:v>
                </c:pt>
                <c:pt idx="17">
                  <c:v>5.9416820000000001</c:v>
                </c:pt>
                <c:pt idx="18">
                  <c:v>5.9970949999999998</c:v>
                </c:pt>
                <c:pt idx="19">
                  <c:v>6.2650990000000002</c:v>
                </c:pt>
                <c:pt idx="20">
                  <c:v>6.4707889999999999</c:v>
                </c:pt>
                <c:pt idx="21">
                  <c:v>6.6943760000000001</c:v>
                </c:pt>
                <c:pt idx="22">
                  <c:v>6.8616250000000001</c:v>
                </c:pt>
                <c:pt idx="23">
                  <c:v>6.9120879999999998</c:v>
                </c:pt>
                <c:pt idx="24">
                  <c:v>6.9586209999999999</c:v>
                </c:pt>
                <c:pt idx="25">
                  <c:v>7.0033310000000002</c:v>
                </c:pt>
                <c:pt idx="26">
                  <c:v>7.0477460000000001</c:v>
                </c:pt>
                <c:pt idx="27">
                  <c:v>7.0730649999999997</c:v>
                </c:pt>
                <c:pt idx="28">
                  <c:v>7.1027680000000002</c:v>
                </c:pt>
                <c:pt idx="29">
                  <c:v>7.1294950000000004</c:v>
                </c:pt>
                <c:pt idx="30">
                  <c:v>7.1564930000000002</c:v>
                </c:pt>
                <c:pt idx="31">
                  <c:v>7.1821739999999998</c:v>
                </c:pt>
                <c:pt idx="32">
                  <c:v>7.2083459999999997</c:v>
                </c:pt>
                <c:pt idx="33">
                  <c:v>7.2362390000000003</c:v>
                </c:pt>
                <c:pt idx="34">
                  <c:v>7.2644799999999998</c:v>
                </c:pt>
                <c:pt idx="35">
                  <c:v>7.2922219999999998</c:v>
                </c:pt>
              </c:numCache>
            </c:numRef>
          </c:xVal>
          <c:yVal>
            <c:numRef>
              <c:f>[1]сазонова!$E$3:$E$16</c:f>
              <c:numCache>
                <c:formatCode>General</c:formatCode>
                <c:ptCount val="14"/>
                <c:pt idx="0">
                  <c:v>235.4778</c:v>
                </c:pt>
                <c:pt idx="1">
                  <c:v>478.4778</c:v>
                </c:pt>
                <c:pt idx="2">
                  <c:v>713.9556</c:v>
                </c:pt>
                <c:pt idx="3">
                  <c:v>844.60069999999996</c:v>
                </c:pt>
                <c:pt idx="4">
                  <c:v>1002.101</c:v>
                </c:pt>
                <c:pt idx="5">
                  <c:v>1110.1010000000001</c:v>
                </c:pt>
                <c:pt idx="6">
                  <c:v>1194.452</c:v>
                </c:pt>
                <c:pt idx="7">
                  <c:v>1256.0830000000001</c:v>
                </c:pt>
                <c:pt idx="8">
                  <c:v>1319.701</c:v>
                </c:pt>
                <c:pt idx="9">
                  <c:v>1409.701</c:v>
                </c:pt>
                <c:pt idx="10">
                  <c:v>1459.39</c:v>
                </c:pt>
                <c:pt idx="11">
                  <c:v>1673.741</c:v>
                </c:pt>
                <c:pt idx="12">
                  <c:v>1755.8820000000001</c:v>
                </c:pt>
                <c:pt idx="13">
                  <c:v>1837.221</c:v>
                </c:pt>
              </c:numCache>
            </c:numRef>
          </c:yVal>
          <c:smooth val="1"/>
        </c:ser>
        <c:ser>
          <c:idx val="2"/>
          <c:order val="2"/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[1]сазонова!$F$3:$F$38</c:f>
              <c:numCache>
                <c:formatCode>General</c:formatCode>
                <c:ptCount val="36"/>
                <c:pt idx="0">
                  <c:v>3.2533259999999999</c:v>
                </c:pt>
                <c:pt idx="1">
                  <c:v>3.722467</c:v>
                </c:pt>
                <c:pt idx="2">
                  <c:v>4.0165629999999997</c:v>
                </c:pt>
                <c:pt idx="3">
                  <c:v>4.2162009999999999</c:v>
                </c:pt>
                <c:pt idx="4">
                  <c:v>4.4159689999999996</c:v>
                </c:pt>
                <c:pt idx="5">
                  <c:v>4.5781700000000001</c:v>
                </c:pt>
                <c:pt idx="6">
                  <c:v>4.7041380000000004</c:v>
                </c:pt>
                <c:pt idx="7">
                  <c:v>4.8164569999999998</c:v>
                </c:pt>
                <c:pt idx="8">
                  <c:v>4.9217550000000001</c:v>
                </c:pt>
                <c:pt idx="9">
                  <c:v>5.0149860000000004</c:v>
                </c:pt>
                <c:pt idx="10">
                  <c:v>5.1024269999999996</c:v>
                </c:pt>
                <c:pt idx="11">
                  <c:v>5.4691090000000004</c:v>
                </c:pt>
                <c:pt idx="12">
                  <c:v>5.5495850000000004</c:v>
                </c:pt>
                <c:pt idx="13">
                  <c:v>5.6246539999999996</c:v>
                </c:pt>
                <c:pt idx="14">
                  <c:v>5.7157869999999997</c:v>
                </c:pt>
                <c:pt idx="15">
                  <c:v>5.8224729999999996</c:v>
                </c:pt>
                <c:pt idx="16">
                  <c:v>5.8860140000000003</c:v>
                </c:pt>
                <c:pt idx="17">
                  <c:v>5.9416820000000001</c:v>
                </c:pt>
                <c:pt idx="18">
                  <c:v>5.9970949999999998</c:v>
                </c:pt>
                <c:pt idx="19">
                  <c:v>6.2650990000000002</c:v>
                </c:pt>
                <c:pt idx="20">
                  <c:v>6.4707889999999999</c:v>
                </c:pt>
                <c:pt idx="21">
                  <c:v>6.6943760000000001</c:v>
                </c:pt>
                <c:pt idx="22">
                  <c:v>6.8616250000000001</c:v>
                </c:pt>
                <c:pt idx="23">
                  <c:v>6.9120879999999998</c:v>
                </c:pt>
                <c:pt idx="24">
                  <c:v>6.9586209999999999</c:v>
                </c:pt>
                <c:pt idx="25">
                  <c:v>7.0033310000000002</c:v>
                </c:pt>
                <c:pt idx="26">
                  <c:v>7.0477460000000001</c:v>
                </c:pt>
                <c:pt idx="27">
                  <c:v>7.0730649999999997</c:v>
                </c:pt>
                <c:pt idx="28">
                  <c:v>7.1027680000000002</c:v>
                </c:pt>
                <c:pt idx="29">
                  <c:v>7.1294950000000004</c:v>
                </c:pt>
                <c:pt idx="30">
                  <c:v>7.1564930000000002</c:v>
                </c:pt>
                <c:pt idx="31">
                  <c:v>7.1821739999999998</c:v>
                </c:pt>
                <c:pt idx="32">
                  <c:v>7.2083459999999997</c:v>
                </c:pt>
                <c:pt idx="33">
                  <c:v>7.2362390000000003</c:v>
                </c:pt>
                <c:pt idx="34">
                  <c:v>7.2644799999999998</c:v>
                </c:pt>
                <c:pt idx="35">
                  <c:v>7.2922219999999998</c:v>
                </c:pt>
              </c:numCache>
            </c:numRef>
          </c:xVal>
          <c:yVal>
            <c:numRef>
              <c:f>[1]сазонова!$E$3:$E$16</c:f>
              <c:numCache>
                <c:formatCode>General</c:formatCode>
                <c:ptCount val="14"/>
                <c:pt idx="0">
                  <c:v>235.4778</c:v>
                </c:pt>
                <c:pt idx="1">
                  <c:v>478.4778</c:v>
                </c:pt>
                <c:pt idx="2">
                  <c:v>713.9556</c:v>
                </c:pt>
                <c:pt idx="3">
                  <c:v>844.60069999999996</c:v>
                </c:pt>
                <c:pt idx="4">
                  <c:v>1002.101</c:v>
                </c:pt>
                <c:pt idx="5">
                  <c:v>1110.1010000000001</c:v>
                </c:pt>
                <c:pt idx="6">
                  <c:v>1194.452</c:v>
                </c:pt>
                <c:pt idx="7">
                  <c:v>1256.0830000000001</c:v>
                </c:pt>
                <c:pt idx="8">
                  <c:v>1319.701</c:v>
                </c:pt>
                <c:pt idx="9">
                  <c:v>1409.701</c:v>
                </c:pt>
                <c:pt idx="10">
                  <c:v>1459.39</c:v>
                </c:pt>
                <c:pt idx="11">
                  <c:v>1673.741</c:v>
                </c:pt>
                <c:pt idx="12">
                  <c:v>1755.8820000000001</c:v>
                </c:pt>
                <c:pt idx="13">
                  <c:v>1837.221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[1]сазонова!$F$3:$F$38</c:f>
              <c:numCache>
                <c:formatCode>General</c:formatCode>
                <c:ptCount val="36"/>
                <c:pt idx="0">
                  <c:v>3.2533259999999999</c:v>
                </c:pt>
                <c:pt idx="1">
                  <c:v>3.722467</c:v>
                </c:pt>
                <c:pt idx="2">
                  <c:v>4.0165629999999997</c:v>
                </c:pt>
                <c:pt idx="3">
                  <c:v>4.2162009999999999</c:v>
                </c:pt>
                <c:pt idx="4">
                  <c:v>4.4159689999999996</c:v>
                </c:pt>
                <c:pt idx="5">
                  <c:v>4.5781700000000001</c:v>
                </c:pt>
                <c:pt idx="6">
                  <c:v>4.7041380000000004</c:v>
                </c:pt>
                <c:pt idx="7">
                  <c:v>4.8164569999999998</c:v>
                </c:pt>
                <c:pt idx="8">
                  <c:v>4.9217550000000001</c:v>
                </c:pt>
                <c:pt idx="9">
                  <c:v>5.0149860000000004</c:v>
                </c:pt>
                <c:pt idx="10">
                  <c:v>5.1024269999999996</c:v>
                </c:pt>
                <c:pt idx="11">
                  <c:v>5.4691090000000004</c:v>
                </c:pt>
                <c:pt idx="12">
                  <c:v>5.5495850000000004</c:v>
                </c:pt>
                <c:pt idx="13">
                  <c:v>5.6246539999999996</c:v>
                </c:pt>
                <c:pt idx="14">
                  <c:v>5.7157869999999997</c:v>
                </c:pt>
                <c:pt idx="15">
                  <c:v>5.8224729999999996</c:v>
                </c:pt>
                <c:pt idx="16">
                  <c:v>5.8860140000000003</c:v>
                </c:pt>
                <c:pt idx="17">
                  <c:v>5.9416820000000001</c:v>
                </c:pt>
                <c:pt idx="18">
                  <c:v>5.9970949999999998</c:v>
                </c:pt>
                <c:pt idx="19">
                  <c:v>6.2650990000000002</c:v>
                </c:pt>
                <c:pt idx="20">
                  <c:v>6.4707889999999999</c:v>
                </c:pt>
                <c:pt idx="21">
                  <c:v>6.6943760000000001</c:v>
                </c:pt>
                <c:pt idx="22">
                  <c:v>6.8616250000000001</c:v>
                </c:pt>
                <c:pt idx="23">
                  <c:v>6.9120879999999998</c:v>
                </c:pt>
                <c:pt idx="24">
                  <c:v>6.9586209999999999</c:v>
                </c:pt>
                <c:pt idx="25">
                  <c:v>7.0033310000000002</c:v>
                </c:pt>
                <c:pt idx="26">
                  <c:v>7.0477460000000001</c:v>
                </c:pt>
                <c:pt idx="27">
                  <c:v>7.0730649999999997</c:v>
                </c:pt>
                <c:pt idx="28">
                  <c:v>7.1027680000000002</c:v>
                </c:pt>
                <c:pt idx="29">
                  <c:v>7.1294950000000004</c:v>
                </c:pt>
                <c:pt idx="30">
                  <c:v>7.1564930000000002</c:v>
                </c:pt>
                <c:pt idx="31">
                  <c:v>7.1821739999999998</c:v>
                </c:pt>
                <c:pt idx="32">
                  <c:v>7.2083459999999997</c:v>
                </c:pt>
                <c:pt idx="33">
                  <c:v>7.2362390000000003</c:v>
                </c:pt>
                <c:pt idx="34">
                  <c:v>7.2644799999999998</c:v>
                </c:pt>
                <c:pt idx="35">
                  <c:v>7.2922219999999998</c:v>
                </c:pt>
              </c:numCache>
            </c:numRef>
          </c:xVal>
          <c:yVal>
            <c:numRef>
              <c:f>[1]сазонова!$F$3:$F$16</c:f>
              <c:numCache>
                <c:formatCode>General</c:formatCode>
                <c:ptCount val="14"/>
                <c:pt idx="0">
                  <c:v>3.2533259999999999</c:v>
                </c:pt>
                <c:pt idx="1">
                  <c:v>3.722467</c:v>
                </c:pt>
                <c:pt idx="2">
                  <c:v>4.0165629999999997</c:v>
                </c:pt>
                <c:pt idx="3">
                  <c:v>4.2162009999999999</c:v>
                </c:pt>
                <c:pt idx="4">
                  <c:v>4.4159689999999996</c:v>
                </c:pt>
                <c:pt idx="5">
                  <c:v>4.5781700000000001</c:v>
                </c:pt>
                <c:pt idx="6">
                  <c:v>4.7041380000000004</c:v>
                </c:pt>
                <c:pt idx="7">
                  <c:v>4.8164569999999998</c:v>
                </c:pt>
                <c:pt idx="8">
                  <c:v>4.9217550000000001</c:v>
                </c:pt>
                <c:pt idx="9">
                  <c:v>5.0149860000000004</c:v>
                </c:pt>
                <c:pt idx="10">
                  <c:v>5.1024269999999996</c:v>
                </c:pt>
                <c:pt idx="11">
                  <c:v>5.4691090000000004</c:v>
                </c:pt>
                <c:pt idx="12">
                  <c:v>5.5495850000000004</c:v>
                </c:pt>
                <c:pt idx="13">
                  <c:v>5.6246539999999996</c:v>
                </c:pt>
              </c:numCache>
            </c:numRef>
          </c:yVal>
          <c:smooth val="1"/>
        </c:ser>
        <c:axId val="71427584"/>
        <c:axId val="71429504"/>
      </c:scatterChart>
      <c:valAx>
        <c:axId val="7142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f(Q</a:t>
                </a:r>
                <a:r>
                  <a:rPr lang="ru-RU" sz="1200"/>
                  <a:t>жид.нак)</a:t>
                </a:r>
              </a:p>
            </c:rich>
          </c:tx>
          <c:layout/>
        </c:title>
        <c:numFmt formatCode="0" sourceLinked="0"/>
        <c:tickLblPos val="nextTo"/>
        <c:crossAx val="71429504"/>
        <c:crosses val="autoZero"/>
        <c:crossBetween val="midCat"/>
      </c:valAx>
      <c:valAx>
        <c:axId val="71429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Q</a:t>
                </a:r>
                <a:r>
                  <a:rPr lang="ru-RU" sz="1400"/>
                  <a:t>н.нак</a:t>
                </a:r>
              </a:p>
            </c:rich>
          </c:tx>
          <c:layout>
            <c:manualLayout>
              <c:xMode val="edge"/>
              <c:yMode val="edge"/>
              <c:x val="1.6666669096918867E-2"/>
              <c:y val="6.0070668842932405E-2"/>
            </c:manualLayout>
          </c:layout>
        </c:title>
        <c:numFmt formatCode="0" sourceLinked="0"/>
        <c:tickLblPos val="nextTo"/>
        <c:crossAx val="71427584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108856</xdr:colOff>
      <xdr:row>13</xdr:row>
      <xdr:rowOff>81642</xdr:rowOff>
    </xdr:from>
    <xdr:to>
      <xdr:col>15</xdr:col>
      <xdr:colOff>258536</xdr:colOff>
      <xdr:row>28</xdr:row>
      <xdr:rowOff>122464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22</xdr:col>
      <xdr:colOff>147108</xdr:colOff>
      <xdr:row>21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67235</xdr:colOff>
      <xdr:row>5</xdr:row>
      <xdr:rowOff>123265</xdr:rowOff>
    </xdr:from>
    <xdr:to>
      <xdr:col>20</xdr:col>
      <xdr:colOff>311027</xdr:colOff>
      <xdr:row>9</xdr:row>
      <xdr:rowOff>89646</xdr:rowOff>
    </xdr:to>
    <xdr:sp macro="" textlink="">
      <xdr:nvSpPr>
        <xdr:cNvPr id="3" name="Полилиния 2"/>
        <xdr:cNvSpPr/>
      </xdr:nvSpPr>
      <xdr:spPr>
        <a:xfrm>
          <a:off x="9749117" y="1344706"/>
          <a:ext cx="848910" cy="593911"/>
        </a:xfrm>
        <a:custGeom>
          <a:avLst/>
          <a:gdLst>
            <a:gd name="connsiteX0" fmla="*/ 114300 w 976312"/>
            <a:gd name="connsiteY0" fmla="*/ 606425 h 668337"/>
            <a:gd name="connsiteX1" fmla="*/ 171450 w 976312"/>
            <a:gd name="connsiteY1" fmla="*/ 463550 h 668337"/>
            <a:gd name="connsiteX2" fmla="*/ 247650 w 976312"/>
            <a:gd name="connsiteY2" fmla="*/ 330200 h 668337"/>
            <a:gd name="connsiteX3" fmla="*/ 371475 w 976312"/>
            <a:gd name="connsiteY3" fmla="*/ 234950 h 668337"/>
            <a:gd name="connsiteX4" fmla="*/ 523875 w 976312"/>
            <a:gd name="connsiteY4" fmla="*/ 187325 h 668337"/>
            <a:gd name="connsiteX5" fmla="*/ 695325 w 976312"/>
            <a:gd name="connsiteY5" fmla="*/ 111125 h 668337"/>
            <a:gd name="connsiteX6" fmla="*/ 809625 w 976312"/>
            <a:gd name="connsiteY6" fmla="*/ 92075 h 668337"/>
            <a:gd name="connsiteX7" fmla="*/ 857250 w 976312"/>
            <a:gd name="connsiteY7" fmla="*/ 92075 h 668337"/>
            <a:gd name="connsiteX8" fmla="*/ 114300 w 976312"/>
            <a:gd name="connsiteY8" fmla="*/ 606425 h 668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976312" h="668337">
              <a:moveTo>
                <a:pt x="114300" y="606425"/>
              </a:moveTo>
              <a:cubicBezTo>
                <a:pt x="0" y="668337"/>
                <a:pt x="149225" y="509587"/>
                <a:pt x="171450" y="463550"/>
              </a:cubicBezTo>
              <a:cubicBezTo>
                <a:pt x="193675" y="417513"/>
                <a:pt x="214313" y="368300"/>
                <a:pt x="247650" y="330200"/>
              </a:cubicBezTo>
              <a:cubicBezTo>
                <a:pt x="280987" y="292100"/>
                <a:pt x="325438" y="258763"/>
                <a:pt x="371475" y="234950"/>
              </a:cubicBezTo>
              <a:cubicBezTo>
                <a:pt x="417513" y="211138"/>
                <a:pt x="469900" y="207963"/>
                <a:pt x="523875" y="187325"/>
              </a:cubicBezTo>
              <a:cubicBezTo>
                <a:pt x="577850" y="166688"/>
                <a:pt x="647700" y="127000"/>
                <a:pt x="695325" y="111125"/>
              </a:cubicBezTo>
              <a:cubicBezTo>
                <a:pt x="742950" y="95250"/>
                <a:pt x="782637" y="95250"/>
                <a:pt x="809625" y="92075"/>
              </a:cubicBezTo>
              <a:cubicBezTo>
                <a:pt x="836613" y="88900"/>
                <a:pt x="976312" y="0"/>
                <a:pt x="857250" y="92075"/>
              </a:cubicBezTo>
              <a:cubicBezTo>
                <a:pt x="738188" y="184150"/>
                <a:pt x="228600" y="544513"/>
                <a:pt x="114300" y="606425"/>
              </a:cubicBezTo>
              <a:close/>
            </a:path>
          </a:pathLst>
        </a:custGeom>
        <a:solidFill>
          <a:srgbClr val="FFFF00"/>
        </a:solidFill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11</xdr:col>
      <xdr:colOff>11206</xdr:colOff>
      <xdr:row>22</xdr:row>
      <xdr:rowOff>22413</xdr:rowOff>
    </xdr:from>
    <xdr:to>
      <xdr:col>22</xdr:col>
      <xdr:colOff>190501</xdr:colOff>
      <xdr:row>24</xdr:row>
      <xdr:rowOff>179295</xdr:rowOff>
    </xdr:to>
    <xdr:sp macro="" textlink="">
      <xdr:nvSpPr>
        <xdr:cNvPr id="4" name="TextBox 3"/>
        <xdr:cNvSpPr txBox="1"/>
      </xdr:nvSpPr>
      <xdr:spPr>
        <a:xfrm>
          <a:off x="5154706" y="4594413"/>
          <a:ext cx="6580095" cy="537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Рис.2. График зависимости накопленной добычи нефти от степенной функции накопленной добычи жидкости на скважине  №**38 за 12 месяцев до мероприятия и за 24 месяца – после.</a:t>
          </a:r>
        </a:p>
      </xdr:txBody>
    </xdr:sp>
    <xdr:clientData/>
  </xdr:twoCellAnchor>
  <xdr:twoCellAnchor>
    <xdr:from>
      <xdr:col>18</xdr:col>
      <xdr:colOff>291354</xdr:colOff>
      <xdr:row>1</xdr:row>
      <xdr:rowOff>134470</xdr:rowOff>
    </xdr:from>
    <xdr:to>
      <xdr:col>20</xdr:col>
      <xdr:colOff>77944</xdr:colOff>
      <xdr:row>1</xdr:row>
      <xdr:rowOff>489136</xdr:rowOff>
    </xdr:to>
    <xdr:sp macro="" textlink="">
      <xdr:nvSpPr>
        <xdr:cNvPr id="5" name="TextBox 4"/>
        <xdr:cNvSpPr txBox="1"/>
      </xdr:nvSpPr>
      <xdr:spPr>
        <a:xfrm>
          <a:off x="9397254" y="401170"/>
          <a:ext cx="1005790" cy="3546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Доп. добыча</a:t>
          </a:r>
        </a:p>
      </xdr:txBody>
    </xdr:sp>
    <xdr:clientData/>
  </xdr:twoCellAnchor>
  <xdr:twoCellAnchor>
    <xdr:from>
      <xdr:col>19</xdr:col>
      <xdr:colOff>246529</xdr:colOff>
      <xdr:row>1</xdr:row>
      <xdr:rowOff>448235</xdr:rowOff>
    </xdr:from>
    <xdr:to>
      <xdr:col>19</xdr:col>
      <xdr:colOff>390235</xdr:colOff>
      <xdr:row>7</xdr:row>
      <xdr:rowOff>20122</xdr:rowOff>
    </xdr:to>
    <xdr:cxnSp macro="">
      <xdr:nvCxnSpPr>
        <xdr:cNvPr id="6" name="Прямая со стрелкой 5"/>
        <xdr:cNvCxnSpPr>
          <a:endCxn id="3" idx="3"/>
        </xdr:cNvCxnSpPr>
      </xdr:nvCxnSpPr>
      <xdr:spPr>
        <a:xfrm rot="16200000" flipH="1">
          <a:off x="9581188" y="1064399"/>
          <a:ext cx="838152" cy="143706"/>
        </a:xfrm>
        <a:prstGeom prst="straightConnector1">
          <a:avLst/>
        </a:prstGeom>
        <a:ln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224118</xdr:colOff>
      <xdr:row>5</xdr:row>
      <xdr:rowOff>89647</xdr:rowOff>
    </xdr:from>
    <xdr:to>
      <xdr:col>26</xdr:col>
      <xdr:colOff>201706</xdr:colOff>
      <xdr:row>13</xdr:row>
      <xdr:rowOff>33618</xdr:rowOff>
    </xdr:to>
    <xdr:sp macro="" textlink="">
      <xdr:nvSpPr>
        <xdr:cNvPr id="7" name="TextBox 6"/>
        <xdr:cNvSpPr txBox="1"/>
      </xdr:nvSpPr>
      <xdr:spPr>
        <a:xfrm>
          <a:off x="11768418" y="1423147"/>
          <a:ext cx="2415988" cy="1467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200"/>
            <a:t>Добавить линию тренда с формулой.</a:t>
          </a:r>
        </a:p>
        <a:p>
          <a:endParaRPr lang="ru-RU" sz="1200"/>
        </a:p>
        <a:p>
          <a:r>
            <a:rPr lang="ru-RU" sz="1200">
              <a:solidFill>
                <a:srgbClr val="FF0000"/>
              </a:solidFill>
            </a:rPr>
            <a:t>Правой кнопкой на линию  накопленой добычи жидкости,</a:t>
          </a:r>
        </a:p>
        <a:p>
          <a:r>
            <a:rPr lang="ru-RU" sz="1200">
              <a:solidFill>
                <a:srgbClr val="FF0000"/>
              </a:solidFill>
            </a:rPr>
            <a:t>получишь</a:t>
          </a:r>
          <a:r>
            <a:rPr lang="ru-RU" sz="1200" baseline="0">
              <a:solidFill>
                <a:srgbClr val="FF0000"/>
              </a:solidFill>
            </a:rPr>
            <a:t> формулу  тренда</a:t>
          </a:r>
          <a:endParaRPr lang="ru-RU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22</xdr:col>
      <xdr:colOff>268940</xdr:colOff>
      <xdr:row>13</xdr:row>
      <xdr:rowOff>89647</xdr:rowOff>
    </xdr:from>
    <xdr:to>
      <xdr:col>26</xdr:col>
      <xdr:colOff>425822</xdr:colOff>
      <xdr:row>28</xdr:row>
      <xdr:rowOff>43838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13240" y="2947147"/>
          <a:ext cx="2595282" cy="2497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7;&#1040;&#1049;&#1058;/3.%20spoil_&#1044;&#1054;&#1041;&#1067;&#1063;&#1040;/&#1042;%20&#1057;&#1040;&#1049;&#1058;&#1045;/sazonova_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зонова"/>
    </sheetNames>
    <sheetDataSet>
      <sheetData sheetId="0">
        <row r="3">
          <cell r="E3">
            <v>235.4778</v>
          </cell>
          <cell r="F3">
            <v>3.2533259999999999</v>
          </cell>
        </row>
        <row r="4">
          <cell r="E4">
            <v>478.4778</v>
          </cell>
          <cell r="F4">
            <v>3.722467</v>
          </cell>
        </row>
        <row r="5">
          <cell r="E5">
            <v>713.9556</v>
          </cell>
          <cell r="F5">
            <v>4.0165629999999997</v>
          </cell>
        </row>
        <row r="6">
          <cell r="E6">
            <v>844.60069999999996</v>
          </cell>
          <cell r="F6">
            <v>4.2162009999999999</v>
          </cell>
        </row>
        <row r="7">
          <cell r="E7">
            <v>1002.101</v>
          </cell>
          <cell r="F7">
            <v>4.4159689999999996</v>
          </cell>
        </row>
        <row r="8">
          <cell r="E8">
            <v>1110.1010000000001</v>
          </cell>
          <cell r="F8">
            <v>4.5781700000000001</v>
          </cell>
        </row>
        <row r="9">
          <cell r="E9">
            <v>1194.452</v>
          </cell>
          <cell r="F9">
            <v>4.7041380000000004</v>
          </cell>
        </row>
        <row r="10">
          <cell r="E10">
            <v>1256.0830000000001</v>
          </cell>
          <cell r="F10">
            <v>4.8164569999999998</v>
          </cell>
        </row>
        <row r="11">
          <cell r="E11">
            <v>1319.701</v>
          </cell>
          <cell r="F11">
            <v>4.9217550000000001</v>
          </cell>
        </row>
        <row r="12">
          <cell r="E12">
            <v>1409.701</v>
          </cell>
          <cell r="F12">
            <v>5.0149860000000004</v>
          </cell>
        </row>
        <row r="13">
          <cell r="E13">
            <v>1459.39</v>
          </cell>
          <cell r="F13">
            <v>5.1024269999999996</v>
          </cell>
        </row>
        <row r="14">
          <cell r="E14">
            <v>1673.741</v>
          </cell>
          <cell r="F14">
            <v>5.4691090000000004</v>
          </cell>
        </row>
        <row r="15">
          <cell r="E15">
            <v>1755.8820000000001</v>
          </cell>
          <cell r="F15">
            <v>5.5495850000000004</v>
          </cell>
        </row>
        <row r="16">
          <cell r="E16">
            <v>1837.221</v>
          </cell>
          <cell r="F16">
            <v>5.6246539999999996</v>
          </cell>
        </row>
        <row r="17">
          <cell r="E17">
            <v>1997.816</v>
          </cell>
          <cell r="F17">
            <v>5.7157869999999997</v>
          </cell>
        </row>
        <row r="18">
          <cell r="E18">
            <v>2189.8159999999998</v>
          </cell>
          <cell r="F18">
            <v>5.8224729999999996</v>
          </cell>
        </row>
        <row r="19">
          <cell r="E19">
            <v>2234.9499999999998</v>
          </cell>
          <cell r="F19">
            <v>5.8860140000000003</v>
          </cell>
        </row>
        <row r="20">
          <cell r="E20">
            <v>2264.1390000000001</v>
          </cell>
          <cell r="F20">
            <v>5.9416820000000001</v>
          </cell>
        </row>
        <row r="21">
          <cell r="E21">
            <v>2294.223</v>
          </cell>
          <cell r="F21">
            <v>5.9970949999999998</v>
          </cell>
        </row>
        <row r="22">
          <cell r="E22">
            <v>2424.1480000000001</v>
          </cell>
          <cell r="F22">
            <v>6.2650990000000002</v>
          </cell>
        </row>
        <row r="23">
          <cell r="E23">
            <v>2467.6370000000002</v>
          </cell>
          <cell r="F23">
            <v>6.4707889999999999</v>
          </cell>
        </row>
        <row r="24">
          <cell r="E24">
            <v>2522.0909999999999</v>
          </cell>
          <cell r="F24">
            <v>6.6943760000000001</v>
          </cell>
        </row>
        <row r="25">
          <cell r="E25">
            <v>2741.752</v>
          </cell>
          <cell r="F25">
            <v>6.8616250000000001</v>
          </cell>
        </row>
        <row r="26">
          <cell r="E26">
            <v>2850.0529999999999</v>
          </cell>
          <cell r="F26">
            <v>6.9120879999999998</v>
          </cell>
        </row>
        <row r="27">
          <cell r="E27">
            <v>2961.681</v>
          </cell>
          <cell r="F27">
            <v>6.9586209999999999</v>
          </cell>
        </row>
        <row r="28">
          <cell r="E28">
            <v>3060.3609999999999</v>
          </cell>
          <cell r="F28">
            <v>7.0033310000000002</v>
          </cell>
        </row>
        <row r="29">
          <cell r="E29">
            <v>3161.087</v>
          </cell>
          <cell r="F29">
            <v>7.0477460000000001</v>
          </cell>
        </row>
        <row r="30">
          <cell r="E30">
            <v>3219.7289999999998</v>
          </cell>
          <cell r="F30">
            <v>7.0730649999999997</v>
          </cell>
        </row>
        <row r="31">
          <cell r="E31">
            <v>3284.4969999999998</v>
          </cell>
          <cell r="F31">
            <v>7.1027680000000002</v>
          </cell>
        </row>
        <row r="32">
          <cell r="E32">
            <v>3334.3879999999999</v>
          </cell>
          <cell r="F32">
            <v>7.1294950000000004</v>
          </cell>
        </row>
        <row r="33">
          <cell r="E33">
            <v>3385.6010000000001</v>
          </cell>
          <cell r="F33">
            <v>7.1564930000000002</v>
          </cell>
        </row>
        <row r="34">
          <cell r="E34">
            <v>3435.0889999999999</v>
          </cell>
          <cell r="F34">
            <v>7.1821739999999998</v>
          </cell>
        </row>
        <row r="35">
          <cell r="E35">
            <v>3486.3029999999999</v>
          </cell>
          <cell r="F35">
            <v>7.2083459999999997</v>
          </cell>
        </row>
        <row r="36">
          <cell r="E36">
            <v>3542.0639999999999</v>
          </cell>
          <cell r="F36">
            <v>7.2362390000000003</v>
          </cell>
        </row>
        <row r="37">
          <cell r="E37">
            <v>3599.462</v>
          </cell>
          <cell r="F37">
            <v>7.2644799999999998</v>
          </cell>
        </row>
        <row r="38">
          <cell r="E38">
            <v>3656.7809999999999</v>
          </cell>
          <cell r="F38">
            <v>7.2922219999999998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univere.ru/work31845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53"/>
  <sheetViews>
    <sheetView showGridLines="0" tabSelected="1" zoomScale="80" zoomScaleNormal="80" workbookViewId="0">
      <selection activeCell="I25" sqref="I25"/>
    </sheetView>
  </sheetViews>
  <sheetFormatPr defaultRowHeight="12.75"/>
  <cols>
    <col min="1" max="1" width="2.85546875" customWidth="1"/>
    <col min="2" max="2" width="67.5703125" customWidth="1"/>
    <col min="3" max="3" width="13" customWidth="1"/>
    <col min="4" max="4" width="11.28515625" customWidth="1"/>
    <col min="5" max="5" width="11.7109375" customWidth="1"/>
    <col min="6" max="6" width="11.85546875" customWidth="1"/>
    <col min="18" max="18" width="14.85546875" customWidth="1"/>
  </cols>
  <sheetData>
    <row r="1" spans="2:9" ht="19.5" customHeight="1" thickBot="1">
      <c r="B1" s="86" t="s">
        <v>69</v>
      </c>
      <c r="C1" s="88" t="s">
        <v>10</v>
      </c>
    </row>
    <row r="2" spans="2:9" ht="15">
      <c r="B2" s="53" t="s">
        <v>12</v>
      </c>
      <c r="C2" s="54" t="s">
        <v>17</v>
      </c>
      <c r="D2" s="111" t="s">
        <v>11</v>
      </c>
      <c r="E2" s="112"/>
      <c r="F2" s="113"/>
      <c r="H2" s="6"/>
      <c r="I2" s="6"/>
    </row>
    <row r="3" spans="2:9" ht="15">
      <c r="B3" s="55"/>
      <c r="C3" s="56"/>
      <c r="D3" s="57" t="s">
        <v>28</v>
      </c>
      <c r="E3" s="57" t="s">
        <v>29</v>
      </c>
      <c r="F3" s="58" t="s">
        <v>31</v>
      </c>
      <c r="H3" s="6"/>
      <c r="I3" s="6"/>
    </row>
    <row r="4" spans="2:9" ht="15">
      <c r="B4" s="59" t="s">
        <v>15</v>
      </c>
      <c r="C4" s="60">
        <v>15832</v>
      </c>
      <c r="D4" s="61">
        <v>756</v>
      </c>
      <c r="E4" s="62"/>
      <c r="F4" s="63"/>
      <c r="H4" s="6"/>
      <c r="I4" s="6"/>
    </row>
    <row r="5" spans="2:9" ht="15">
      <c r="B5" s="59" t="s">
        <v>16</v>
      </c>
      <c r="C5" s="60">
        <v>3611</v>
      </c>
      <c r="D5" s="64">
        <v>70</v>
      </c>
      <c r="E5" s="65">
        <f>ROUND(D5+F5,1)</f>
        <v>85.7</v>
      </c>
      <c r="F5" s="66">
        <v>15.7</v>
      </c>
      <c r="H5" s="6"/>
      <c r="I5" s="6"/>
    </row>
    <row r="6" spans="2:9" ht="15">
      <c r="B6" s="59" t="s">
        <v>13</v>
      </c>
      <c r="C6" s="60">
        <v>500</v>
      </c>
      <c r="D6" s="61">
        <v>14</v>
      </c>
      <c r="E6" s="67">
        <f>D6</f>
        <v>14</v>
      </c>
      <c r="F6" s="63"/>
      <c r="H6" s="6"/>
      <c r="I6" s="6"/>
    </row>
    <row r="7" spans="2:9" ht="15">
      <c r="B7" s="59" t="s">
        <v>14</v>
      </c>
      <c r="C7" s="68">
        <f>ROUND(E28,0)</f>
        <v>1013</v>
      </c>
      <c r="D7" s="68">
        <f>ROUND(F28,0)</f>
        <v>1578</v>
      </c>
      <c r="E7" s="68">
        <f>ROUND(F29*D5/E5+F30,0)</f>
        <v>1398</v>
      </c>
      <c r="F7" s="69">
        <f>ROUND(E7-D7,1)</f>
        <v>-180</v>
      </c>
    </row>
    <row r="8" spans="2:9" ht="15.75" thickBot="1">
      <c r="B8" s="70" t="s">
        <v>68</v>
      </c>
      <c r="C8" s="71"/>
      <c r="D8" s="71"/>
      <c r="E8" s="72"/>
      <c r="F8" s="73">
        <f>ROUND((F28-E7)*E5,0)</f>
        <v>15409</v>
      </c>
    </row>
    <row r="9" spans="2:9" ht="5.25" customHeight="1" thickBot="1">
      <c r="B9" s="74"/>
      <c r="C9" s="75"/>
      <c r="D9" s="75"/>
      <c r="E9" s="75"/>
      <c r="F9" s="75"/>
    </row>
    <row r="10" spans="2:9" ht="12.75" customHeight="1">
      <c r="B10" s="114" t="s">
        <v>32</v>
      </c>
      <c r="C10" s="116"/>
      <c r="D10" s="111" t="s">
        <v>17</v>
      </c>
      <c r="E10" s="111"/>
      <c r="F10" s="76" t="s">
        <v>11</v>
      </c>
    </row>
    <row r="11" spans="2:9" ht="15">
      <c r="B11" s="115"/>
      <c r="C11" s="117"/>
      <c r="D11" s="77" t="s">
        <v>8</v>
      </c>
      <c r="E11" s="77" t="s">
        <v>9</v>
      </c>
      <c r="F11" s="78" t="s">
        <v>9</v>
      </c>
    </row>
    <row r="12" spans="2:9" ht="15">
      <c r="B12" s="79" t="s">
        <v>21</v>
      </c>
      <c r="C12" s="56"/>
      <c r="D12" s="61">
        <v>248203</v>
      </c>
      <c r="E12" s="65">
        <f t="shared" ref="E12:E28" si="0">ROUND(D12/$C$5,1)</f>
        <v>68.7</v>
      </c>
      <c r="F12" s="69">
        <f>ROUND(D12*D4/(C4*D5),1)</f>
        <v>169.3</v>
      </c>
    </row>
    <row r="13" spans="2:9" ht="15">
      <c r="B13" s="79" t="s">
        <v>0</v>
      </c>
      <c r="C13" s="56"/>
      <c r="D13" s="61">
        <v>511918</v>
      </c>
      <c r="E13" s="65">
        <f t="shared" si="0"/>
        <v>141.80000000000001</v>
      </c>
      <c r="F13" s="69">
        <f>ROUND(D13*D4/(C4*D5),1)</f>
        <v>349.2</v>
      </c>
    </row>
    <row r="14" spans="2:9" ht="15">
      <c r="B14" s="80" t="s">
        <v>1</v>
      </c>
      <c r="C14" s="56"/>
      <c r="D14" s="61">
        <v>42660</v>
      </c>
      <c r="E14" s="65">
        <f t="shared" si="0"/>
        <v>11.8</v>
      </c>
      <c r="F14" s="69">
        <f>ROUND(D14*D6/(C6*D5),1)</f>
        <v>17.100000000000001</v>
      </c>
    </row>
    <row r="15" spans="2:9" ht="15">
      <c r="B15" s="80" t="s">
        <v>2</v>
      </c>
      <c r="C15" s="56"/>
      <c r="D15" s="61">
        <v>3103</v>
      </c>
      <c r="E15" s="65">
        <f t="shared" si="0"/>
        <v>0.9</v>
      </c>
      <c r="F15" s="69">
        <f>ROUND(D15*D6/(C6*D5),1)</f>
        <v>1.2</v>
      </c>
    </row>
    <row r="16" spans="2:9" ht="15">
      <c r="B16" s="80" t="s">
        <v>3</v>
      </c>
      <c r="C16" s="56"/>
      <c r="D16" s="61">
        <v>16288</v>
      </c>
      <c r="E16" s="65">
        <f t="shared" si="0"/>
        <v>4.5</v>
      </c>
      <c r="F16" s="69">
        <f>ROUND(D16*D6/(C6*D5),1)</f>
        <v>6.5</v>
      </c>
    </row>
    <row r="17" spans="2:9" ht="15">
      <c r="B17" s="80" t="s">
        <v>22</v>
      </c>
      <c r="C17" s="56"/>
      <c r="D17" s="61">
        <v>841562</v>
      </c>
      <c r="E17" s="65">
        <f t="shared" si="0"/>
        <v>233.1</v>
      </c>
      <c r="F17" s="69">
        <f>ROUND(D17*D6/(C6*D5),1)</f>
        <v>336.6</v>
      </c>
    </row>
    <row r="18" spans="2:9" ht="15">
      <c r="B18" s="79" t="s">
        <v>23</v>
      </c>
      <c r="C18" s="56"/>
      <c r="D18" s="61">
        <v>240446</v>
      </c>
      <c r="E18" s="65">
        <f t="shared" si="0"/>
        <v>66.599999999999994</v>
      </c>
      <c r="F18" s="69">
        <f>ROUND(E18,1)</f>
        <v>66.599999999999994</v>
      </c>
    </row>
    <row r="19" spans="2:9" ht="15">
      <c r="B19" s="79" t="s">
        <v>4</v>
      </c>
      <c r="C19" s="56"/>
      <c r="D19" s="61">
        <v>232686</v>
      </c>
      <c r="E19" s="65">
        <f t="shared" si="0"/>
        <v>64.400000000000006</v>
      </c>
      <c r="F19" s="69">
        <f>ROUND(E19,1)</f>
        <v>64.400000000000006</v>
      </c>
    </row>
    <row r="20" spans="2:9" ht="15">
      <c r="B20" s="80" t="s">
        <v>5</v>
      </c>
      <c r="C20" s="56"/>
      <c r="D20" s="61">
        <v>19391</v>
      </c>
      <c r="E20" s="81">
        <f t="shared" si="0"/>
        <v>5.4</v>
      </c>
      <c r="F20" s="69">
        <f>ROUND(E20,1)</f>
        <v>5.4</v>
      </c>
      <c r="I20" s="8"/>
    </row>
    <row r="21" spans="2:9" ht="15">
      <c r="B21" s="79" t="s">
        <v>20</v>
      </c>
      <c r="C21" s="56"/>
      <c r="D21" s="61">
        <v>655410</v>
      </c>
      <c r="E21" s="65">
        <f t="shared" si="0"/>
        <v>181.5</v>
      </c>
      <c r="F21" s="69">
        <f>ROUND(D21*$D$6/($C$6*$D$5),1)</f>
        <v>262.2</v>
      </c>
    </row>
    <row r="22" spans="2:9" ht="15">
      <c r="B22" s="80" t="s">
        <v>30</v>
      </c>
      <c r="C22" s="56"/>
      <c r="D22" s="61">
        <v>511918</v>
      </c>
      <c r="E22" s="65">
        <f t="shared" si="0"/>
        <v>141.80000000000001</v>
      </c>
      <c r="F22" s="69">
        <f>ROUND(D22*$D$6/($C$6*$D$5),1)</f>
        <v>204.8</v>
      </c>
    </row>
    <row r="23" spans="2:9" ht="15">
      <c r="B23" s="80" t="s">
        <v>24</v>
      </c>
      <c r="C23" s="56"/>
      <c r="D23" s="61">
        <v>314132</v>
      </c>
      <c r="E23" s="65">
        <f t="shared" si="0"/>
        <v>87</v>
      </c>
      <c r="F23" s="69">
        <f>ROUND(E23,1)</f>
        <v>87</v>
      </c>
    </row>
    <row r="24" spans="2:9" ht="15">
      <c r="B24" s="52" t="s">
        <v>6</v>
      </c>
      <c r="C24" s="56"/>
      <c r="D24" s="82">
        <f>SUM(D12:D23)</f>
        <v>3637717</v>
      </c>
      <c r="E24" s="65">
        <f t="shared" si="0"/>
        <v>1007.4</v>
      </c>
      <c r="F24" s="69">
        <f>ROUND(SUM(F12:F23),1)</f>
        <v>1570.3</v>
      </c>
    </row>
    <row r="25" spans="2:9" ht="30">
      <c r="B25" s="83" t="s">
        <v>26</v>
      </c>
      <c r="C25" s="56"/>
      <c r="D25" s="84">
        <v>8000</v>
      </c>
      <c r="E25" s="65">
        <f t="shared" si="0"/>
        <v>2.2000000000000002</v>
      </c>
      <c r="F25" s="85">
        <f>ROUND(E25*D5/C5,3)</f>
        <v>4.2999999999999997E-2</v>
      </c>
    </row>
    <row r="26" spans="2:9" ht="15">
      <c r="B26" s="52" t="s">
        <v>25</v>
      </c>
      <c r="C26" s="56"/>
      <c r="D26" s="82">
        <f>D24-D25</f>
        <v>3629717</v>
      </c>
      <c r="E26" s="65">
        <f t="shared" si="0"/>
        <v>1005.2</v>
      </c>
      <c r="F26" s="69">
        <f>ROUND(F24-F25,1)</f>
        <v>1570.3</v>
      </c>
    </row>
    <row r="27" spans="2:9" ht="15">
      <c r="B27" s="83" t="s">
        <v>27</v>
      </c>
      <c r="C27" s="56"/>
      <c r="D27" s="61">
        <v>26987</v>
      </c>
      <c r="E27" s="65">
        <f t="shared" si="0"/>
        <v>7.5</v>
      </c>
      <c r="F27" s="69">
        <f>ROUND(E27,1)</f>
        <v>7.5</v>
      </c>
    </row>
    <row r="28" spans="2:9" ht="15">
      <c r="B28" s="52" t="s">
        <v>7</v>
      </c>
      <c r="C28" s="56"/>
      <c r="D28" s="82">
        <f>D26+D27</f>
        <v>3656704</v>
      </c>
      <c r="E28" s="65">
        <f t="shared" si="0"/>
        <v>1012.7</v>
      </c>
      <c r="F28" s="69">
        <f>ROUND(F26+F27,1)</f>
        <v>1577.8</v>
      </c>
    </row>
    <row r="29" spans="2:9">
      <c r="B29" s="50" t="s">
        <v>18</v>
      </c>
      <c r="C29" s="4"/>
      <c r="D29" s="4"/>
      <c r="E29" s="4"/>
      <c r="F29" s="49">
        <f>ROUND(F26*0.6,1)</f>
        <v>942.2</v>
      </c>
    </row>
    <row r="30" spans="2:9" ht="15.75" thickBot="1">
      <c r="B30" s="51" t="s">
        <v>19</v>
      </c>
      <c r="C30" s="7"/>
      <c r="D30" s="7"/>
      <c r="E30" s="7"/>
      <c r="F30" s="87">
        <f>ROUND(F24-F29,1)</f>
        <v>628.1</v>
      </c>
    </row>
    <row r="31" spans="2:9">
      <c r="B31" s="3"/>
      <c r="C31" s="3"/>
      <c r="D31" s="3"/>
      <c r="E31" s="5"/>
      <c r="F31" s="3"/>
    </row>
    <row r="32" spans="2:9">
      <c r="E32" s="1"/>
      <c r="F32" s="2"/>
    </row>
    <row r="33" spans="5:5">
      <c r="E33" s="2"/>
    </row>
    <row r="34" spans="5:5">
      <c r="E34" s="1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</sheetData>
  <mergeCells count="4">
    <mergeCell ref="D2:F2"/>
    <mergeCell ref="B10:B11"/>
    <mergeCell ref="C10:C11"/>
    <mergeCell ref="D10:E10"/>
  </mergeCells>
  <hyperlinks>
    <hyperlink ref="C1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T30"/>
  <sheetViews>
    <sheetView showGridLines="0" zoomScale="75" zoomScaleNormal="75" workbookViewId="0">
      <selection activeCell="Q23" sqref="Q23"/>
    </sheetView>
  </sheetViews>
  <sheetFormatPr defaultRowHeight="12.75"/>
  <cols>
    <col min="1" max="1" width="4.140625" customWidth="1"/>
    <col min="6" max="6" width="18.7109375" customWidth="1"/>
    <col min="7" max="7" width="9.28515625" bestFit="1" customWidth="1"/>
    <col min="8" max="8" width="9.85546875" customWidth="1"/>
    <col min="9" max="17" width="9.28515625" bestFit="1" customWidth="1"/>
    <col min="18" max="19" width="9.7109375" bestFit="1" customWidth="1"/>
    <col min="20" max="20" width="11.5703125" customWidth="1"/>
  </cols>
  <sheetData>
    <row r="1" spans="2:20" ht="20.25">
      <c r="B1" s="124" t="s">
        <v>69</v>
      </c>
      <c r="C1" s="125"/>
      <c r="D1" s="125"/>
      <c r="E1" s="125"/>
      <c r="F1" s="125"/>
    </row>
    <row r="2" spans="2:20" ht="15">
      <c r="B2" s="126" t="s">
        <v>33</v>
      </c>
      <c r="C2" s="127"/>
      <c r="D2" s="127"/>
      <c r="E2" s="127"/>
      <c r="F2" s="128"/>
      <c r="G2" s="9">
        <v>0</v>
      </c>
      <c r="H2" s="10">
        <v>1</v>
      </c>
      <c r="I2" s="10">
        <v>2</v>
      </c>
      <c r="J2" s="10">
        <v>3</v>
      </c>
      <c r="K2" s="10">
        <v>4</v>
      </c>
      <c r="L2" s="10">
        <v>5</v>
      </c>
      <c r="M2" s="10">
        <v>6</v>
      </c>
      <c r="N2" s="10">
        <v>7</v>
      </c>
      <c r="O2" s="10">
        <v>8</v>
      </c>
      <c r="P2" s="10">
        <v>9</v>
      </c>
      <c r="Q2" s="10">
        <v>10</v>
      </c>
      <c r="R2" s="10">
        <v>11</v>
      </c>
      <c r="S2" s="10">
        <v>12</v>
      </c>
      <c r="T2" s="11" t="s">
        <v>34</v>
      </c>
    </row>
    <row r="3" spans="2:20" ht="15">
      <c r="B3" s="126" t="s">
        <v>35</v>
      </c>
      <c r="C3" s="127"/>
      <c r="D3" s="127"/>
      <c r="E3" s="127"/>
      <c r="F3" s="128"/>
      <c r="G3" s="12"/>
      <c r="H3" s="13">
        <v>31</v>
      </c>
      <c r="I3" s="9">
        <v>28</v>
      </c>
      <c r="J3" s="9">
        <v>31</v>
      </c>
      <c r="K3" s="9">
        <v>30</v>
      </c>
      <c r="L3" s="9">
        <v>31</v>
      </c>
      <c r="M3" s="9">
        <v>30</v>
      </c>
      <c r="N3" s="9">
        <v>31</v>
      </c>
      <c r="O3" s="9">
        <v>31</v>
      </c>
      <c r="P3" s="9">
        <v>30</v>
      </c>
      <c r="Q3" s="9">
        <v>31</v>
      </c>
      <c r="R3" s="9">
        <v>30</v>
      </c>
      <c r="S3" s="9">
        <v>31</v>
      </c>
      <c r="T3" s="14"/>
    </row>
    <row r="4" spans="2:20" ht="15.75">
      <c r="B4" s="121"/>
      <c r="C4" s="122"/>
      <c r="D4" s="122"/>
      <c r="E4" s="122"/>
      <c r="F4" s="1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2:20" ht="15.75">
      <c r="B5" s="121" t="s">
        <v>36</v>
      </c>
      <c r="C5" s="122"/>
      <c r="D5" s="122"/>
      <c r="E5" s="122"/>
      <c r="F5" s="123"/>
      <c r="G5" s="19">
        <v>0</v>
      </c>
      <c r="H5" s="20">
        <f>$G$20*H3*H6</f>
        <v>167.4</v>
      </c>
      <c r="I5" s="20">
        <f t="shared" ref="I5:S5" si="0">$G$20*I3*I6</f>
        <v>120.96000000000001</v>
      </c>
      <c r="J5" s="20">
        <f t="shared" si="0"/>
        <v>107.13600000000001</v>
      </c>
      <c r="K5" s="20">
        <f t="shared" si="0"/>
        <v>82.944000000000017</v>
      </c>
      <c r="L5" s="20">
        <f t="shared" si="0"/>
        <v>68.56704000000002</v>
      </c>
      <c r="M5" s="20">
        <f t="shared" si="0"/>
        <v>53.084160000000011</v>
      </c>
      <c r="N5" s="20">
        <f t="shared" si="0"/>
        <v>43.882905600000015</v>
      </c>
      <c r="O5" s="20">
        <f t="shared" si="0"/>
        <v>35.106324480000012</v>
      </c>
      <c r="P5" s="20">
        <f t="shared" si="0"/>
        <v>27.179089920000013</v>
      </c>
      <c r="Q5" s="20">
        <f t="shared" si="0"/>
        <v>22.468047667200011</v>
      </c>
      <c r="R5" s="20">
        <f t="shared" si="0"/>
        <v>17.39461754880001</v>
      </c>
      <c r="S5" s="20">
        <f t="shared" si="0"/>
        <v>14.379550507008009</v>
      </c>
      <c r="T5" s="21">
        <f>SUM(H5:S5)</f>
        <v>760.50173572300821</v>
      </c>
    </row>
    <row r="6" spans="2:20" ht="15.75">
      <c r="B6" s="121" t="s">
        <v>37</v>
      </c>
      <c r="C6" s="122"/>
      <c r="D6" s="122"/>
      <c r="E6" s="122"/>
      <c r="F6" s="123"/>
      <c r="G6" s="17"/>
      <c r="H6" s="22">
        <f>$G$22</f>
        <v>1.8</v>
      </c>
      <c r="I6" s="23">
        <f t="shared" ref="I6:S6" si="1">H6*$G$29</f>
        <v>1.4400000000000002</v>
      </c>
      <c r="J6" s="23">
        <f t="shared" si="1"/>
        <v>1.1520000000000001</v>
      </c>
      <c r="K6" s="23">
        <f t="shared" si="1"/>
        <v>0.9216000000000002</v>
      </c>
      <c r="L6" s="23">
        <f t="shared" si="1"/>
        <v>0.73728000000000016</v>
      </c>
      <c r="M6" s="23">
        <f t="shared" si="1"/>
        <v>0.58982400000000013</v>
      </c>
      <c r="N6" s="23">
        <f t="shared" si="1"/>
        <v>0.47185920000000015</v>
      </c>
      <c r="O6" s="23">
        <f t="shared" si="1"/>
        <v>0.37748736000000016</v>
      </c>
      <c r="P6" s="23">
        <f t="shared" si="1"/>
        <v>0.30198988800000015</v>
      </c>
      <c r="Q6" s="23">
        <f t="shared" si="1"/>
        <v>0.24159191040000014</v>
      </c>
      <c r="R6" s="23">
        <f t="shared" si="1"/>
        <v>0.19327352832000011</v>
      </c>
      <c r="S6" s="23">
        <f t="shared" si="1"/>
        <v>0.1546188226560001</v>
      </c>
      <c r="T6" s="24"/>
    </row>
    <row r="7" spans="2:20" ht="15.75">
      <c r="B7" s="121" t="s">
        <v>38</v>
      </c>
      <c r="C7" s="122"/>
      <c r="D7" s="122"/>
      <c r="E7" s="122"/>
      <c r="F7" s="123"/>
      <c r="G7" s="24"/>
      <c r="H7" s="25">
        <f t="shared" ref="H7:S7" si="2">$G$23*H5</f>
        <v>4017600</v>
      </c>
      <c r="I7" s="25">
        <f t="shared" si="2"/>
        <v>2903040</v>
      </c>
      <c r="J7" s="25">
        <f t="shared" si="2"/>
        <v>2571264.0000000005</v>
      </c>
      <c r="K7" s="25">
        <f t="shared" si="2"/>
        <v>1990656.0000000005</v>
      </c>
      <c r="L7" s="25">
        <f t="shared" si="2"/>
        <v>1645608.9600000004</v>
      </c>
      <c r="M7" s="25">
        <f t="shared" si="2"/>
        <v>1274019.8400000003</v>
      </c>
      <c r="N7" s="25">
        <f t="shared" si="2"/>
        <v>1053189.7344000004</v>
      </c>
      <c r="O7" s="25">
        <f t="shared" si="2"/>
        <v>842551.78752000025</v>
      </c>
      <c r="P7" s="25">
        <f t="shared" si="2"/>
        <v>652298.15808000031</v>
      </c>
      <c r="Q7" s="25">
        <f t="shared" si="2"/>
        <v>539233.1440128003</v>
      </c>
      <c r="R7" s="25">
        <f t="shared" si="2"/>
        <v>417470.82117120025</v>
      </c>
      <c r="S7" s="25">
        <f t="shared" si="2"/>
        <v>345109.2121681922</v>
      </c>
      <c r="T7" s="21">
        <f>SUM(H7:S7)</f>
        <v>18252041.657352194</v>
      </c>
    </row>
    <row r="8" spans="2:20" ht="15.75">
      <c r="B8" s="121" t="s">
        <v>39</v>
      </c>
      <c r="C8" s="122"/>
      <c r="D8" s="122"/>
      <c r="E8" s="122"/>
      <c r="F8" s="123"/>
      <c r="G8" s="24"/>
      <c r="H8" s="25">
        <f>T8</f>
        <v>5100000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1">
        <f>$G$20*$G$24</f>
        <v>5100000</v>
      </c>
    </row>
    <row r="9" spans="2:20" ht="15.75">
      <c r="B9" s="121" t="s">
        <v>67</v>
      </c>
      <c r="C9" s="122"/>
      <c r="D9" s="122"/>
      <c r="E9" s="122"/>
      <c r="F9" s="123"/>
      <c r="G9" s="24"/>
      <c r="H9" s="25">
        <f t="shared" ref="H9:S9" si="3">H5*$G$25</f>
        <v>816075</v>
      </c>
      <c r="I9" s="25">
        <f t="shared" si="3"/>
        <v>589680</v>
      </c>
      <c r="J9" s="25">
        <f t="shared" si="3"/>
        <v>522288.00000000006</v>
      </c>
      <c r="K9" s="25">
        <f t="shared" si="3"/>
        <v>404352.00000000006</v>
      </c>
      <c r="L9" s="25">
        <f t="shared" si="3"/>
        <v>334264.32000000012</v>
      </c>
      <c r="M9" s="25">
        <f t="shared" si="3"/>
        <v>258785.28000000006</v>
      </c>
      <c r="N9" s="25">
        <f t="shared" si="3"/>
        <v>213929.16480000009</v>
      </c>
      <c r="O9" s="25">
        <f t="shared" si="3"/>
        <v>171143.33184000006</v>
      </c>
      <c r="P9" s="25">
        <f t="shared" si="3"/>
        <v>132498.06336000006</v>
      </c>
      <c r="Q9" s="25">
        <f t="shared" si="3"/>
        <v>109531.73237760006</v>
      </c>
      <c r="R9" s="25">
        <f t="shared" si="3"/>
        <v>84798.760550400053</v>
      </c>
      <c r="S9" s="25">
        <f t="shared" si="3"/>
        <v>70100.308721664042</v>
      </c>
      <c r="T9" s="21">
        <f>SUM(H9:S9)</f>
        <v>3707445.9616496647</v>
      </c>
    </row>
    <row r="10" spans="2:20" ht="15.75">
      <c r="B10" s="121" t="s">
        <v>40</v>
      </c>
      <c r="C10" s="122"/>
      <c r="D10" s="122"/>
      <c r="E10" s="122"/>
      <c r="F10" s="123"/>
      <c r="G10" s="24"/>
      <c r="H10" s="25">
        <f t="shared" ref="H10:S10" si="4">H7*$G$26+H7*$G$27</f>
        <v>811555.2</v>
      </c>
      <c r="I10" s="25">
        <f t="shared" si="4"/>
        <v>586414.07999999996</v>
      </c>
      <c r="J10" s="25">
        <f t="shared" si="4"/>
        <v>519395.3280000001</v>
      </c>
      <c r="K10" s="25">
        <f t="shared" si="4"/>
        <v>402112.5120000001</v>
      </c>
      <c r="L10" s="25">
        <f t="shared" si="4"/>
        <v>332413.00992000016</v>
      </c>
      <c r="M10" s="25">
        <f t="shared" si="4"/>
        <v>257352.00768000007</v>
      </c>
      <c r="N10" s="25">
        <f t="shared" si="4"/>
        <v>212744.3263488001</v>
      </c>
      <c r="O10" s="25">
        <f t="shared" si="4"/>
        <v>170195.46107904008</v>
      </c>
      <c r="P10" s="25">
        <f t="shared" si="4"/>
        <v>131764.22793216008</v>
      </c>
      <c r="Q10" s="25">
        <f t="shared" si="4"/>
        <v>108925.09509058567</v>
      </c>
      <c r="R10" s="25">
        <f t="shared" si="4"/>
        <v>84329.105876582456</v>
      </c>
      <c r="S10" s="25">
        <f t="shared" si="4"/>
        <v>69712.060857974837</v>
      </c>
      <c r="T10" s="21">
        <f>SUM(H10:S10)</f>
        <v>3686912.4147851444</v>
      </c>
    </row>
    <row r="11" spans="2:20" ht="15.75">
      <c r="B11" s="121" t="s">
        <v>41</v>
      </c>
      <c r="C11" s="122"/>
      <c r="D11" s="122"/>
      <c r="E11" s="122"/>
      <c r="F11" s="123"/>
      <c r="G11" s="27">
        <v>0</v>
      </c>
      <c r="H11" s="25">
        <f t="shared" ref="H11:S11" si="5">H7-H8-H9-H10</f>
        <v>-2710030.2</v>
      </c>
      <c r="I11" s="25">
        <f t="shared" si="5"/>
        <v>1726945.92</v>
      </c>
      <c r="J11" s="25">
        <f t="shared" si="5"/>
        <v>1529580.6720000003</v>
      </c>
      <c r="K11" s="25">
        <f t="shared" si="5"/>
        <v>1184191.4880000004</v>
      </c>
      <c r="L11" s="25">
        <f t="shared" si="5"/>
        <v>978931.63008000026</v>
      </c>
      <c r="M11" s="25">
        <f t="shared" si="5"/>
        <v>757882.55232000025</v>
      </c>
      <c r="N11" s="25">
        <f t="shared" si="5"/>
        <v>626516.24325120018</v>
      </c>
      <c r="O11" s="25">
        <f t="shared" si="5"/>
        <v>501212.99460096005</v>
      </c>
      <c r="P11" s="25">
        <f t="shared" si="5"/>
        <v>388035.8667878402</v>
      </c>
      <c r="Q11" s="25">
        <f t="shared" si="5"/>
        <v>320776.31654461462</v>
      </c>
      <c r="R11" s="25">
        <f t="shared" si="5"/>
        <v>248342.95474421774</v>
      </c>
      <c r="S11" s="25">
        <f t="shared" si="5"/>
        <v>205296.84258855329</v>
      </c>
      <c r="T11" s="21">
        <f>SUM(H11:S11)</f>
        <v>5757683.2809173875</v>
      </c>
    </row>
    <row r="12" spans="2:20" ht="15.75">
      <c r="B12" s="121" t="s">
        <v>42</v>
      </c>
      <c r="C12" s="122"/>
      <c r="D12" s="122"/>
      <c r="E12" s="122"/>
      <c r="F12" s="123"/>
      <c r="G12" s="27">
        <v>0</v>
      </c>
      <c r="H12" s="25">
        <f t="shared" ref="H12:S12" si="6">H11/(1+$G$28)^COUNTA(H2-$H$2)</f>
        <v>-2463663.8181818184</v>
      </c>
      <c r="I12" s="25">
        <f t="shared" si="6"/>
        <v>1569950.8363636362</v>
      </c>
      <c r="J12" s="25">
        <f t="shared" si="6"/>
        <v>1390527.8836363638</v>
      </c>
      <c r="K12" s="25">
        <f t="shared" si="6"/>
        <v>1076537.7163636365</v>
      </c>
      <c r="L12" s="25">
        <f t="shared" si="6"/>
        <v>889937.8455272729</v>
      </c>
      <c r="M12" s="25">
        <f t="shared" si="6"/>
        <v>688984.1384727275</v>
      </c>
      <c r="N12" s="25">
        <f t="shared" si="6"/>
        <v>569560.22113745462</v>
      </c>
      <c r="O12" s="25">
        <f t="shared" si="6"/>
        <v>455648.17690996366</v>
      </c>
      <c r="P12" s="25">
        <f t="shared" si="6"/>
        <v>352759.87889803655</v>
      </c>
      <c r="Q12" s="25">
        <f t="shared" si="6"/>
        <v>291614.83322237688</v>
      </c>
      <c r="R12" s="25">
        <f t="shared" si="6"/>
        <v>225766.32249474339</v>
      </c>
      <c r="S12" s="25">
        <f t="shared" si="6"/>
        <v>186633.49326232116</v>
      </c>
      <c r="T12" s="21">
        <f>SUM(H12:S12)</f>
        <v>5234257.5281067146</v>
      </c>
    </row>
    <row r="13" spans="2:20" ht="15.75">
      <c r="B13" s="121" t="s">
        <v>43</v>
      </c>
      <c r="C13" s="122"/>
      <c r="D13" s="122"/>
      <c r="E13" s="122"/>
      <c r="F13" s="123"/>
      <c r="G13" s="27">
        <v>0</v>
      </c>
      <c r="H13" s="28">
        <f>H12</f>
        <v>-2463663.8181818184</v>
      </c>
      <c r="I13" s="29">
        <f t="shared" ref="I13:S13" si="7">H13+I12</f>
        <v>-893712.98181818216</v>
      </c>
      <c r="J13" s="29">
        <f t="shared" si="7"/>
        <v>496814.90181818162</v>
      </c>
      <c r="K13" s="29">
        <f t="shared" si="7"/>
        <v>1573352.6181818182</v>
      </c>
      <c r="L13" s="29">
        <f t="shared" si="7"/>
        <v>2463290.4637090908</v>
      </c>
      <c r="M13" s="29">
        <f t="shared" si="7"/>
        <v>3152274.6021818183</v>
      </c>
      <c r="N13" s="29">
        <f t="shared" si="7"/>
        <v>3721834.8233192731</v>
      </c>
      <c r="O13" s="29">
        <f t="shared" si="7"/>
        <v>4177483.0002292367</v>
      </c>
      <c r="P13" s="29">
        <f t="shared" si="7"/>
        <v>4530242.8791272733</v>
      </c>
      <c r="Q13" s="29">
        <f t="shared" si="7"/>
        <v>4821857.7123496505</v>
      </c>
      <c r="R13" s="29">
        <f t="shared" si="7"/>
        <v>5047624.0348443938</v>
      </c>
      <c r="S13" s="29">
        <f t="shared" si="7"/>
        <v>5234257.5281067146</v>
      </c>
      <c r="T13" s="24"/>
    </row>
    <row r="14" spans="2:20" ht="15.75">
      <c r="B14" s="121" t="s">
        <v>42</v>
      </c>
      <c r="C14" s="122"/>
      <c r="D14" s="122"/>
      <c r="E14" s="122"/>
      <c r="F14" s="123"/>
      <c r="G14" s="30">
        <f>MAX(H13:S13)</f>
        <v>5234257.5281067146</v>
      </c>
      <c r="I14" s="1"/>
    </row>
    <row r="15" spans="2:20" ht="15.75">
      <c r="B15" s="121" t="s">
        <v>44</v>
      </c>
      <c r="C15" s="122"/>
      <c r="D15" s="122"/>
      <c r="E15" s="122"/>
      <c r="F15" s="123"/>
      <c r="G15" s="31">
        <f>IRR(H11:S11)</f>
        <v>0.46936135896026315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2:20" ht="15.75">
      <c r="B16" s="121" t="s">
        <v>45</v>
      </c>
      <c r="C16" s="122"/>
      <c r="D16" s="122"/>
      <c r="E16" s="122"/>
      <c r="F16" s="123"/>
      <c r="G16" s="33">
        <f>1+S13/H8</f>
        <v>2.0263250055111204</v>
      </c>
    </row>
    <row r="17" spans="2:20" ht="15.75">
      <c r="B17" s="121" t="s">
        <v>46</v>
      </c>
      <c r="C17" s="122"/>
      <c r="D17" s="122"/>
      <c r="E17" s="122"/>
      <c r="F17" s="123"/>
      <c r="G17" s="33">
        <f ca="1">COUNTIF(H13:S13,"&lt;0")+OFFSET($G$13,0,COUNTIF(H13:S13,"&lt;0"))/OFFSET($G$13,-1,(COUNTIF(H13:S13,"&lt;0")+1))*-1</f>
        <v>2.6427148943472005</v>
      </c>
      <c r="H17" s="34"/>
      <c r="I17" s="35"/>
      <c r="J17" s="34"/>
      <c r="K17" s="34"/>
      <c r="L17" s="34"/>
      <c r="M17" s="34"/>
      <c r="N17" s="34"/>
      <c r="O17" s="34"/>
    </row>
    <row r="18" spans="2:20">
      <c r="B18" s="34"/>
      <c r="C18" s="34"/>
      <c r="D18" s="34"/>
      <c r="E18" s="34"/>
      <c r="F18" s="34"/>
      <c r="G18" s="34"/>
      <c r="H18" s="34"/>
      <c r="I18" s="36"/>
      <c r="J18" s="34"/>
      <c r="K18" s="34"/>
      <c r="L18" s="34"/>
      <c r="M18" s="34"/>
      <c r="N18" s="34"/>
      <c r="O18" s="34"/>
    </row>
    <row r="19" spans="2:20" ht="15.75">
      <c r="B19" s="37" t="s">
        <v>47</v>
      </c>
      <c r="C19" s="38"/>
      <c r="D19" s="38"/>
      <c r="E19" s="38"/>
      <c r="F19" s="38"/>
      <c r="G19" s="38"/>
      <c r="K19" s="34"/>
      <c r="L19" s="34"/>
      <c r="M19" s="34"/>
      <c r="N19" s="34"/>
      <c r="O19" s="34"/>
    </row>
    <row r="20" spans="2:20" ht="15.75">
      <c r="B20" s="47" t="s">
        <v>48</v>
      </c>
      <c r="C20" s="15"/>
      <c r="D20" s="15"/>
      <c r="E20" s="15"/>
      <c r="F20" s="16"/>
      <c r="G20" s="27">
        <v>3</v>
      </c>
      <c r="K20" s="34"/>
      <c r="L20" s="34"/>
      <c r="M20" s="34"/>
      <c r="N20" s="34"/>
      <c r="O20" s="34"/>
    </row>
    <row r="21" spans="2:20" ht="15.75">
      <c r="B21" s="47" t="s">
        <v>49</v>
      </c>
      <c r="C21" s="15"/>
      <c r="D21" s="15"/>
      <c r="E21" s="15"/>
      <c r="F21" s="16"/>
      <c r="G21" s="39">
        <v>0.95</v>
      </c>
      <c r="K21" s="34"/>
      <c r="L21" s="34"/>
      <c r="M21" s="34"/>
      <c r="N21" s="34"/>
      <c r="O21" s="34"/>
    </row>
    <row r="22" spans="2:20" ht="15.75">
      <c r="B22" s="47" t="s">
        <v>58</v>
      </c>
      <c r="C22" s="15"/>
      <c r="D22" s="15"/>
      <c r="E22" s="15"/>
      <c r="F22" s="16"/>
      <c r="G22" s="40">
        <v>1.8</v>
      </c>
    </row>
    <row r="23" spans="2:20" ht="15.75">
      <c r="B23" s="47" t="s">
        <v>50</v>
      </c>
      <c r="C23" s="15"/>
      <c r="D23" s="15"/>
      <c r="E23" s="15"/>
      <c r="F23" s="16"/>
      <c r="G23" s="41">
        <v>24000</v>
      </c>
    </row>
    <row r="24" spans="2:20" ht="15.75">
      <c r="B24" s="47" t="s">
        <v>51</v>
      </c>
      <c r="C24" s="15"/>
      <c r="D24" s="15"/>
      <c r="E24" s="15"/>
      <c r="F24" s="16"/>
      <c r="G24" s="41">
        <v>1700000</v>
      </c>
    </row>
    <row r="25" spans="2:20" ht="15.75">
      <c r="B25" s="47" t="s">
        <v>52</v>
      </c>
      <c r="C25" s="15"/>
      <c r="D25" s="15"/>
      <c r="E25" s="15"/>
      <c r="F25" s="16"/>
      <c r="G25" s="42">
        <f>0.65*$G$30</f>
        <v>4875</v>
      </c>
    </row>
    <row r="26" spans="2:20" ht="15.75">
      <c r="B26" s="47" t="s">
        <v>53</v>
      </c>
      <c r="C26" s="15"/>
      <c r="D26" s="15"/>
      <c r="E26" s="15"/>
      <c r="F26" s="16"/>
      <c r="G26" s="43">
        <v>0.2</v>
      </c>
      <c r="L26" s="2"/>
      <c r="M26" s="2"/>
      <c r="N26" s="2"/>
      <c r="O26" s="2"/>
      <c r="P26" s="2"/>
      <c r="Q26" s="2"/>
      <c r="R26" s="2"/>
      <c r="S26" s="2"/>
      <c r="T26" s="2"/>
    </row>
    <row r="27" spans="2:20" ht="15.75">
      <c r="B27" s="47" t="s">
        <v>54</v>
      </c>
      <c r="C27" s="15"/>
      <c r="D27" s="15"/>
      <c r="E27" s="15"/>
      <c r="F27" s="16"/>
      <c r="G27" s="44">
        <v>2E-3</v>
      </c>
      <c r="H27" s="34"/>
      <c r="I27" s="34"/>
      <c r="J27" s="34"/>
      <c r="L27" s="45"/>
      <c r="M27" s="2"/>
      <c r="N27" s="2"/>
      <c r="O27" s="2"/>
      <c r="P27" s="2"/>
      <c r="Q27" s="2"/>
      <c r="R27" s="2"/>
      <c r="S27" s="2"/>
      <c r="T27" s="2"/>
    </row>
    <row r="28" spans="2:20" ht="15.75">
      <c r="B28" s="47" t="s">
        <v>55</v>
      </c>
      <c r="C28" s="15"/>
      <c r="D28" s="15"/>
      <c r="E28" s="15"/>
      <c r="F28" s="16"/>
      <c r="G28" s="46">
        <v>0.1</v>
      </c>
      <c r="H28" s="34"/>
      <c r="I28" s="34"/>
      <c r="J28" s="34"/>
    </row>
    <row r="29" spans="2:20" ht="15.75">
      <c r="B29" s="118" t="s">
        <v>56</v>
      </c>
      <c r="C29" s="119"/>
      <c r="D29" s="119"/>
      <c r="E29" s="119"/>
      <c r="F29" s="120"/>
      <c r="G29" s="48">
        <v>0.8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2:20" ht="15.75">
      <c r="B30" s="118" t="s">
        <v>57</v>
      </c>
      <c r="C30" s="119"/>
      <c r="D30" s="119"/>
      <c r="E30" s="119"/>
      <c r="F30" s="120"/>
      <c r="G30" s="41">
        <v>7500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</row>
  </sheetData>
  <mergeCells count="19">
    <mergeCell ref="B1:F1"/>
    <mergeCell ref="B12:F12"/>
    <mergeCell ref="B13:F13"/>
    <mergeCell ref="B14:F14"/>
    <mergeCell ref="B15:F15"/>
    <mergeCell ref="B7:F7"/>
    <mergeCell ref="B8:F8"/>
    <mergeCell ref="B9:F9"/>
    <mergeCell ref="B10:F10"/>
    <mergeCell ref="B11:F11"/>
    <mergeCell ref="B2:F2"/>
    <mergeCell ref="B3:F3"/>
    <mergeCell ref="B29:F29"/>
    <mergeCell ref="B30:F30"/>
    <mergeCell ref="B4:F4"/>
    <mergeCell ref="B5:F5"/>
    <mergeCell ref="B6:F6"/>
    <mergeCell ref="B17:F17"/>
    <mergeCell ref="B16:F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9"/>
  <sheetViews>
    <sheetView showGridLines="0" zoomScale="85" zoomScaleNormal="85" workbookViewId="0">
      <selection activeCell="B2" sqref="B2"/>
    </sheetView>
  </sheetViews>
  <sheetFormatPr defaultRowHeight="12.75"/>
  <cols>
    <col min="1" max="1" width="1" customWidth="1"/>
    <col min="2" max="3" width="6.5703125" bestFit="1" customWidth="1"/>
    <col min="4" max="4" width="7.42578125" bestFit="1" customWidth="1"/>
    <col min="5" max="5" width="7" bestFit="1" customWidth="1"/>
    <col min="6" max="6" width="10.5703125" customWidth="1"/>
    <col min="7" max="7" width="8.42578125" customWidth="1"/>
    <col min="8" max="8" width="9.28515625" customWidth="1"/>
    <col min="9" max="9" width="8" bestFit="1" customWidth="1"/>
    <col min="10" max="10" width="9.5703125" customWidth="1"/>
    <col min="11" max="11" width="2.7109375" customWidth="1"/>
    <col min="16" max="16" width="4.5703125" customWidth="1"/>
  </cols>
  <sheetData>
    <row r="1" spans="2:12" ht="21" thickBot="1">
      <c r="B1" s="89" t="s">
        <v>71</v>
      </c>
      <c r="L1" s="90"/>
    </row>
    <row r="2" spans="2:12" ht="38.25">
      <c r="B2" s="91" t="s">
        <v>59</v>
      </c>
      <c r="C2" s="92" t="s">
        <v>60</v>
      </c>
      <c r="D2" s="92" t="s">
        <v>61</v>
      </c>
      <c r="E2" s="92" t="s">
        <v>62</v>
      </c>
      <c r="F2" s="92" t="s">
        <v>63</v>
      </c>
      <c r="G2" s="93" t="s">
        <v>64</v>
      </c>
      <c r="H2" s="93" t="s">
        <v>65</v>
      </c>
      <c r="I2" s="92" t="s">
        <v>70</v>
      </c>
      <c r="J2" s="92" t="s">
        <v>66</v>
      </c>
    </row>
    <row r="3" spans="2:12">
      <c r="B3" s="94">
        <v>2008</v>
      </c>
      <c r="C3" s="95">
        <v>10</v>
      </c>
      <c r="D3" s="96">
        <v>497.1198</v>
      </c>
      <c r="E3" s="97">
        <v>235.4778</v>
      </c>
      <c r="F3" s="97">
        <v>3.2533259999999999</v>
      </c>
      <c r="G3" s="98"/>
      <c r="H3" s="99"/>
      <c r="I3" s="100">
        <v>8.1</v>
      </c>
      <c r="J3" s="101">
        <v>0.52631600000000001</v>
      </c>
    </row>
    <row r="4" spans="2:12">
      <c r="B4" s="94">
        <v>2008</v>
      </c>
      <c r="C4" s="95">
        <v>11</v>
      </c>
      <c r="D4" s="96">
        <v>1010.12</v>
      </c>
      <c r="E4" s="97">
        <v>478.4778</v>
      </c>
      <c r="F4" s="97">
        <v>3.722467</v>
      </c>
      <c r="G4" s="98"/>
      <c r="H4" s="99"/>
      <c r="I4" s="100">
        <v>8.1</v>
      </c>
      <c r="J4" s="101">
        <v>0.52631600000000001</v>
      </c>
    </row>
    <row r="5" spans="2:12">
      <c r="B5" s="94">
        <v>2008</v>
      </c>
      <c r="C5" s="95">
        <v>12</v>
      </c>
      <c r="D5" s="96">
        <v>1507.24</v>
      </c>
      <c r="E5" s="97">
        <v>713.9556</v>
      </c>
      <c r="F5" s="97">
        <v>4.0165629999999997</v>
      </c>
      <c r="G5" s="98"/>
      <c r="H5" s="99"/>
      <c r="I5" s="100">
        <v>8.1</v>
      </c>
      <c r="J5" s="101">
        <v>0.52631600000000001</v>
      </c>
    </row>
    <row r="6" spans="2:12">
      <c r="B6" s="94">
        <v>2009</v>
      </c>
      <c r="C6" s="95">
        <v>1</v>
      </c>
      <c r="D6" s="96">
        <v>1945.627</v>
      </c>
      <c r="E6" s="97">
        <v>844.60069999999996</v>
      </c>
      <c r="F6" s="97">
        <v>4.2162009999999999</v>
      </c>
      <c r="G6" s="98"/>
      <c r="H6" s="99"/>
      <c r="I6" s="100">
        <v>4.5</v>
      </c>
      <c r="J6" s="101">
        <v>0.70198700000000003</v>
      </c>
    </row>
    <row r="7" spans="2:12">
      <c r="B7" s="94">
        <v>2009</v>
      </c>
      <c r="C7" s="95">
        <v>2</v>
      </c>
      <c r="D7" s="96">
        <v>2482.4119999999998</v>
      </c>
      <c r="E7" s="97">
        <v>1002.101</v>
      </c>
      <c r="F7" s="97">
        <v>4.4159689999999996</v>
      </c>
      <c r="G7" s="98"/>
      <c r="H7" s="99"/>
      <c r="I7" s="100">
        <v>4.9000000000000004</v>
      </c>
      <c r="J7" s="101">
        <v>0.70658699999999997</v>
      </c>
    </row>
    <row r="8" spans="2:12">
      <c r="B8" s="94">
        <v>2009</v>
      </c>
      <c r="C8" s="95">
        <v>3</v>
      </c>
      <c r="D8" s="96">
        <v>3001.4119999999998</v>
      </c>
      <c r="E8" s="97">
        <v>1110.1010000000001</v>
      </c>
      <c r="F8" s="97">
        <v>4.5781700000000001</v>
      </c>
      <c r="G8" s="98"/>
      <c r="H8" s="99"/>
      <c r="I8" s="100">
        <v>3.6</v>
      </c>
      <c r="J8" s="101">
        <v>0.79190799999999995</v>
      </c>
    </row>
    <row r="9" spans="2:12">
      <c r="B9" s="94">
        <v>2009</v>
      </c>
      <c r="C9" s="95">
        <v>4</v>
      </c>
      <c r="D9" s="96">
        <v>3462.3330000000001</v>
      </c>
      <c r="E9" s="97">
        <v>1194.452</v>
      </c>
      <c r="F9" s="97">
        <v>4.7041380000000004</v>
      </c>
      <c r="G9" s="98"/>
      <c r="H9" s="99"/>
      <c r="I9" s="100">
        <v>2.8</v>
      </c>
      <c r="J9" s="101">
        <v>0.81699299999999997</v>
      </c>
    </row>
    <row r="10" spans="2:12">
      <c r="B10" s="94">
        <v>2009</v>
      </c>
      <c r="C10" s="95">
        <v>5</v>
      </c>
      <c r="D10" s="96">
        <v>3920.1590000000001</v>
      </c>
      <c r="E10" s="97">
        <v>1256.0830000000001</v>
      </c>
      <c r="F10" s="97">
        <v>4.8164569999999998</v>
      </c>
      <c r="G10" s="98"/>
      <c r="H10" s="99"/>
      <c r="I10" s="100">
        <v>2.1</v>
      </c>
      <c r="J10" s="101">
        <v>0.86538499999999996</v>
      </c>
    </row>
    <row r="11" spans="2:12">
      <c r="B11" s="94">
        <v>2009</v>
      </c>
      <c r="C11" s="95">
        <v>6</v>
      </c>
      <c r="D11" s="96">
        <v>4392.7539999999999</v>
      </c>
      <c r="E11" s="97">
        <v>1319.701</v>
      </c>
      <c r="F11" s="97">
        <v>4.9217550000000001</v>
      </c>
      <c r="G11" s="98"/>
      <c r="H11" s="99"/>
      <c r="I11" s="100">
        <v>2.1</v>
      </c>
      <c r="J11" s="101">
        <v>0.86538499999999996</v>
      </c>
    </row>
    <row r="12" spans="2:12">
      <c r="B12" s="94">
        <v>2009</v>
      </c>
      <c r="C12" s="95">
        <v>7</v>
      </c>
      <c r="D12" s="96">
        <v>4848.7539999999999</v>
      </c>
      <c r="E12" s="97">
        <v>1409.701</v>
      </c>
      <c r="F12" s="97">
        <v>5.0149860000000004</v>
      </c>
      <c r="G12" s="98"/>
      <c r="H12" s="99"/>
      <c r="I12" s="100">
        <v>3</v>
      </c>
      <c r="J12" s="101">
        <v>0.80263200000000001</v>
      </c>
    </row>
    <row r="13" spans="2:12">
      <c r="B13" s="94">
        <v>2009</v>
      </c>
      <c r="C13" s="95">
        <v>8</v>
      </c>
      <c r="D13" s="96">
        <v>5310.567</v>
      </c>
      <c r="E13" s="97">
        <v>1459.39</v>
      </c>
      <c r="F13" s="97">
        <v>5.1024269999999996</v>
      </c>
      <c r="G13" s="98"/>
      <c r="H13" s="99"/>
      <c r="I13" s="100">
        <v>1.7</v>
      </c>
      <c r="J13" s="101">
        <v>0.892405</v>
      </c>
    </row>
    <row r="14" spans="2:12">
      <c r="B14" s="94">
        <v>2009</v>
      </c>
      <c r="C14" s="95">
        <v>9</v>
      </c>
      <c r="D14" s="96">
        <v>7651.9409999999998</v>
      </c>
      <c r="E14" s="97">
        <v>1673.741</v>
      </c>
      <c r="F14" s="97">
        <v>5.4691090000000004</v>
      </c>
      <c r="G14" s="98"/>
      <c r="H14" s="99"/>
      <c r="I14" s="102"/>
      <c r="J14" s="103"/>
    </row>
    <row r="15" spans="2:12">
      <c r="B15" s="94">
        <v>2009</v>
      </c>
      <c r="C15" s="95">
        <v>10</v>
      </c>
      <c r="D15" s="96">
        <v>8263.4339999999993</v>
      </c>
      <c r="E15" s="97">
        <v>1755.8820000000001</v>
      </c>
      <c r="F15" s="97">
        <v>5.5495850000000004</v>
      </c>
      <c r="G15" s="98"/>
      <c r="H15" s="99"/>
      <c r="I15" s="102"/>
      <c r="J15" s="103"/>
    </row>
    <row r="16" spans="2:12">
      <c r="B16" s="94">
        <v>2009</v>
      </c>
      <c r="C16" s="95">
        <v>11</v>
      </c>
      <c r="D16" s="96">
        <v>8868.9570000000003</v>
      </c>
      <c r="E16" s="97">
        <v>1837.221</v>
      </c>
      <c r="F16" s="97">
        <v>5.6246539999999996</v>
      </c>
      <c r="G16" s="96">
        <v>27.193490000000001</v>
      </c>
      <c r="H16" s="95">
        <v>1</v>
      </c>
      <c r="I16" s="100">
        <v>2.7</v>
      </c>
      <c r="J16" s="101">
        <v>0.865672</v>
      </c>
    </row>
    <row r="17" spans="2:22">
      <c r="B17" s="94">
        <v>2009</v>
      </c>
      <c r="C17" s="95">
        <v>12</v>
      </c>
      <c r="D17" s="96">
        <v>9651.857</v>
      </c>
      <c r="E17" s="96">
        <v>1997.816</v>
      </c>
      <c r="F17" s="96">
        <v>5.7157869999999997</v>
      </c>
      <c r="G17" s="96">
        <v>153.20330000000001</v>
      </c>
      <c r="H17" s="95">
        <v>2</v>
      </c>
      <c r="I17" s="100">
        <v>4</v>
      </c>
      <c r="J17" s="101">
        <v>0.79487200000000002</v>
      </c>
    </row>
    <row r="18" spans="2:22">
      <c r="B18" s="94">
        <v>2010</v>
      </c>
      <c r="C18" s="95">
        <v>1</v>
      </c>
      <c r="D18" s="96">
        <v>10638.52</v>
      </c>
      <c r="E18" s="96">
        <v>2189.8159999999998</v>
      </c>
      <c r="F18" s="96">
        <v>5.8224729999999996</v>
      </c>
      <c r="G18" s="96">
        <v>398.89229999999998</v>
      </c>
      <c r="H18" s="95">
        <v>3</v>
      </c>
      <c r="I18" s="100">
        <v>3.6</v>
      </c>
      <c r="J18" s="101">
        <v>0.80540500000000004</v>
      </c>
    </row>
    <row r="19" spans="2:22">
      <c r="B19" s="94">
        <v>2010</v>
      </c>
      <c r="C19" s="95">
        <v>2</v>
      </c>
      <c r="D19" s="96">
        <v>11263.96</v>
      </c>
      <c r="E19" s="96">
        <v>2234.9499999999998</v>
      </c>
      <c r="F19" s="96">
        <v>5.8860140000000003</v>
      </c>
      <c r="G19" s="96">
        <v>646.64179999999999</v>
      </c>
      <c r="H19" s="95">
        <v>4</v>
      </c>
      <c r="I19" s="100">
        <v>1.4</v>
      </c>
      <c r="J19" s="101">
        <v>0.92783499999999997</v>
      </c>
    </row>
    <row r="20" spans="2:22">
      <c r="B20" s="94">
        <v>2010</v>
      </c>
      <c r="C20" s="95">
        <v>3</v>
      </c>
      <c r="D20" s="96">
        <v>11836.06</v>
      </c>
      <c r="E20" s="96">
        <v>2264.1390000000001</v>
      </c>
      <c r="F20" s="96">
        <v>5.9416820000000001</v>
      </c>
      <c r="G20" s="96">
        <v>885.84379999999999</v>
      </c>
      <c r="H20" s="95">
        <v>5</v>
      </c>
      <c r="I20" s="100">
        <v>1</v>
      </c>
      <c r="J20" s="101">
        <v>0.94898000000000005</v>
      </c>
    </row>
    <row r="21" spans="2:22">
      <c r="B21" s="94">
        <v>2010</v>
      </c>
      <c r="C21" s="95">
        <v>4</v>
      </c>
      <c r="D21" s="96">
        <v>12428.71</v>
      </c>
      <c r="E21" s="96">
        <v>2294.223</v>
      </c>
      <c r="F21" s="96">
        <v>5.9970949999999998</v>
      </c>
      <c r="G21" s="96">
        <v>1117.5650000000001</v>
      </c>
      <c r="H21" s="95">
        <v>6</v>
      </c>
      <c r="I21" s="100">
        <v>1</v>
      </c>
      <c r="J21" s="101">
        <v>0.94923900000000005</v>
      </c>
    </row>
    <row r="22" spans="2:22">
      <c r="B22" s="94">
        <v>2010</v>
      </c>
      <c r="C22" s="95">
        <v>5</v>
      </c>
      <c r="D22" s="96">
        <v>15644.35</v>
      </c>
      <c r="E22" s="96">
        <v>2424.1480000000001</v>
      </c>
      <c r="F22" s="96">
        <v>6.2650990000000002</v>
      </c>
      <c r="G22" s="96">
        <v>1297.5350000000001</v>
      </c>
      <c r="H22" s="95">
        <v>7</v>
      </c>
      <c r="I22" s="100">
        <v>0.8</v>
      </c>
      <c r="J22" s="101">
        <v>0.959596</v>
      </c>
    </row>
    <row r="23" spans="2:22" ht="15">
      <c r="B23" s="94">
        <v>2010</v>
      </c>
      <c r="C23" s="95">
        <v>6</v>
      </c>
      <c r="D23" s="96">
        <v>18543.68</v>
      </c>
      <c r="E23" s="96">
        <v>2467.6370000000002</v>
      </c>
      <c r="F23" s="96">
        <v>6.4707889999999999</v>
      </c>
      <c r="G23" s="96">
        <v>1381.559</v>
      </c>
      <c r="H23" s="95">
        <v>8</v>
      </c>
      <c r="I23" s="100">
        <v>0.3</v>
      </c>
      <c r="J23" s="101">
        <v>0.98499999999999999</v>
      </c>
      <c r="L23" s="129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2:22">
      <c r="B24" s="94">
        <v>2010</v>
      </c>
      <c r="C24" s="95">
        <v>7</v>
      </c>
      <c r="D24" s="96">
        <v>22173.93</v>
      </c>
      <c r="E24" s="96">
        <v>2522.0909999999999</v>
      </c>
      <c r="F24" s="96">
        <v>6.6943760000000001</v>
      </c>
      <c r="G24" s="98"/>
      <c r="H24" s="99"/>
      <c r="I24" s="104"/>
      <c r="J24" s="103"/>
    </row>
    <row r="25" spans="2:22">
      <c r="B25" s="94">
        <v>2010</v>
      </c>
      <c r="C25" s="95">
        <v>8</v>
      </c>
      <c r="D25" s="96">
        <v>25249.18</v>
      </c>
      <c r="E25" s="96">
        <v>2741.752</v>
      </c>
      <c r="F25" s="96">
        <v>6.8616250000000001</v>
      </c>
      <c r="G25" s="98"/>
      <c r="H25" s="99"/>
      <c r="I25" s="104"/>
      <c r="J25" s="103"/>
    </row>
    <row r="26" spans="2:22">
      <c r="B26" s="94">
        <v>2010</v>
      </c>
      <c r="C26" s="95">
        <v>9</v>
      </c>
      <c r="D26" s="96">
        <v>26241.94</v>
      </c>
      <c r="E26" s="96">
        <v>2850.0529999999999</v>
      </c>
      <c r="F26" s="96">
        <v>6.9120879999999998</v>
      </c>
      <c r="G26" s="98"/>
      <c r="H26" s="99"/>
      <c r="I26" s="104"/>
      <c r="J26" s="103"/>
    </row>
    <row r="27" spans="2:22">
      <c r="B27" s="94">
        <v>2010</v>
      </c>
      <c r="C27" s="95">
        <v>10</v>
      </c>
      <c r="D27" s="96">
        <v>27185.200000000001</v>
      </c>
      <c r="E27" s="96">
        <v>2961.681</v>
      </c>
      <c r="F27" s="96">
        <v>6.9586209999999999</v>
      </c>
      <c r="G27" s="98"/>
      <c r="H27" s="99"/>
      <c r="I27" s="104"/>
      <c r="J27" s="103"/>
    </row>
    <row r="28" spans="2:22">
      <c r="B28" s="94">
        <v>2010</v>
      </c>
      <c r="C28" s="95">
        <v>11</v>
      </c>
      <c r="D28" s="96">
        <v>28117.18</v>
      </c>
      <c r="E28" s="96">
        <v>3060.3609999999999</v>
      </c>
      <c r="F28" s="96">
        <v>7.0033310000000002</v>
      </c>
      <c r="G28" s="98"/>
      <c r="H28" s="99"/>
      <c r="I28" s="104"/>
      <c r="J28" s="103"/>
    </row>
    <row r="29" spans="2:22">
      <c r="B29" s="94">
        <v>2010</v>
      </c>
      <c r="C29" s="95">
        <v>12</v>
      </c>
      <c r="D29" s="96">
        <v>29068.47</v>
      </c>
      <c r="E29" s="96">
        <v>3161.087</v>
      </c>
      <c r="F29" s="96">
        <v>7.0477460000000001</v>
      </c>
      <c r="G29" s="98"/>
      <c r="H29" s="99"/>
      <c r="I29" s="104"/>
      <c r="J29" s="103"/>
    </row>
    <row r="30" spans="2:22">
      <c r="B30" s="94">
        <v>2011</v>
      </c>
      <c r="C30" s="95">
        <v>1</v>
      </c>
      <c r="D30" s="96">
        <v>29622.32</v>
      </c>
      <c r="E30" s="96">
        <v>3219.7289999999998</v>
      </c>
      <c r="F30" s="96">
        <v>7.0730649999999997</v>
      </c>
      <c r="G30" s="98"/>
      <c r="H30" s="99"/>
      <c r="I30" s="104"/>
      <c r="J30" s="103"/>
    </row>
    <row r="31" spans="2:22">
      <c r="B31" s="94">
        <v>2011</v>
      </c>
      <c r="C31" s="95">
        <v>2</v>
      </c>
      <c r="D31" s="96">
        <v>30282.95</v>
      </c>
      <c r="E31" s="96">
        <v>3284.4969999999998</v>
      </c>
      <c r="F31" s="96">
        <v>7.1027680000000002</v>
      </c>
      <c r="G31" s="98"/>
      <c r="H31" s="99"/>
      <c r="I31" s="104"/>
      <c r="J31" s="103"/>
    </row>
    <row r="32" spans="2:22">
      <c r="B32" s="94">
        <v>2011</v>
      </c>
      <c r="C32" s="95">
        <v>3</v>
      </c>
      <c r="D32" s="96">
        <v>30887.51</v>
      </c>
      <c r="E32" s="96">
        <v>3334.3879999999999</v>
      </c>
      <c r="F32" s="96">
        <v>7.1294950000000004</v>
      </c>
      <c r="G32" s="98"/>
      <c r="H32" s="99"/>
      <c r="I32" s="104"/>
      <c r="J32" s="103"/>
    </row>
    <row r="33" spans="2:10">
      <c r="B33" s="94">
        <v>2011</v>
      </c>
      <c r="C33" s="95">
        <v>4</v>
      </c>
      <c r="D33" s="96">
        <v>31508.1</v>
      </c>
      <c r="E33" s="96">
        <v>3385.6010000000001</v>
      </c>
      <c r="F33" s="96">
        <v>7.1564930000000002</v>
      </c>
      <c r="G33" s="98"/>
      <c r="H33" s="99"/>
      <c r="I33" s="104"/>
      <c r="J33" s="103"/>
    </row>
    <row r="34" spans="2:10">
      <c r="B34" s="94">
        <v>2011</v>
      </c>
      <c r="C34" s="95">
        <v>5</v>
      </c>
      <c r="D34" s="96">
        <v>32107.78</v>
      </c>
      <c r="E34" s="96">
        <v>3435.0889999999999</v>
      </c>
      <c r="F34" s="96">
        <v>7.1821739999999998</v>
      </c>
      <c r="G34" s="98"/>
      <c r="H34" s="99"/>
      <c r="I34" s="104"/>
      <c r="J34" s="103"/>
    </row>
    <row r="35" spans="2:10">
      <c r="B35" s="94">
        <v>2011</v>
      </c>
      <c r="C35" s="95">
        <v>6</v>
      </c>
      <c r="D35" s="96">
        <v>32728.36</v>
      </c>
      <c r="E35" s="96">
        <v>3486.3029999999999</v>
      </c>
      <c r="F35" s="96">
        <v>7.2083459999999997</v>
      </c>
      <c r="G35" s="98"/>
      <c r="H35" s="99"/>
      <c r="I35" s="104"/>
      <c r="J35" s="103"/>
    </row>
    <row r="36" spans="2:10">
      <c r="B36" s="94">
        <v>2011</v>
      </c>
      <c r="C36" s="95">
        <v>7</v>
      </c>
      <c r="D36" s="96">
        <v>33400.43</v>
      </c>
      <c r="E36" s="96">
        <v>3542.0639999999999</v>
      </c>
      <c r="F36" s="96">
        <v>7.2362390000000003</v>
      </c>
      <c r="G36" s="98"/>
      <c r="H36" s="99"/>
      <c r="I36" s="104"/>
      <c r="J36" s="103"/>
    </row>
    <row r="37" spans="2:10">
      <c r="B37" s="94">
        <v>2011</v>
      </c>
      <c r="C37" s="95">
        <v>8</v>
      </c>
      <c r="D37" s="96">
        <v>34092.230000000003</v>
      </c>
      <c r="E37" s="96">
        <v>3599.462</v>
      </c>
      <c r="F37" s="96">
        <v>7.2644799999999998</v>
      </c>
      <c r="G37" s="98"/>
      <c r="H37" s="99"/>
      <c r="I37" s="104"/>
      <c r="J37" s="103"/>
    </row>
    <row r="38" spans="2:10" ht="13.5" thickBot="1">
      <c r="B38" s="105">
        <v>2011</v>
      </c>
      <c r="C38" s="106">
        <v>9</v>
      </c>
      <c r="D38" s="107">
        <v>34783.07</v>
      </c>
      <c r="E38" s="107">
        <v>3656.7809999999999</v>
      </c>
      <c r="F38" s="107">
        <v>7.2922219999999998</v>
      </c>
      <c r="G38" s="108"/>
      <c r="H38" s="109"/>
      <c r="I38" s="109"/>
      <c r="J38" s="110"/>
    </row>
    <row r="39" spans="2:10">
      <c r="G39" s="131">
        <f>SUM(G16:G38)</f>
        <v>5908.4336900000008</v>
      </c>
    </row>
  </sheetData>
  <mergeCells count="1">
    <mergeCell ref="L23:V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калькуляция</vt:lpstr>
      <vt:lpstr>NPV</vt:lpstr>
      <vt:lpstr>сазонова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#</cp:lastModifiedBy>
  <dcterms:created xsi:type="dcterms:W3CDTF">2015-12-25T03:52:35Z</dcterms:created>
  <dcterms:modified xsi:type="dcterms:W3CDTF">2017-12-11T09:18:29Z</dcterms:modified>
</cp:coreProperties>
</file>