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0" yWindow="-75" windowWidth="20235" windowHeight="7875"/>
  </bookViews>
  <sheets>
    <sheet name="1" sheetId="19" r:id="rId1"/>
  </sheets>
  <calcPr calcId="124519"/>
</workbook>
</file>

<file path=xl/calcChain.xml><?xml version="1.0" encoding="utf-8"?>
<calcChain xmlns="http://schemas.openxmlformats.org/spreadsheetml/2006/main">
  <c r="J15" i="19"/>
  <c r="E7" s="1"/>
  <c r="E51"/>
  <c r="E41"/>
  <c r="E63" s="1"/>
  <c r="E39"/>
  <c r="E35"/>
  <c r="E33"/>
  <c r="E11"/>
  <c r="E21" s="1"/>
  <c r="E5"/>
  <c r="J29"/>
  <c r="E9" l="1"/>
  <c r="E69" s="1"/>
  <c r="E17"/>
  <c r="E13" l="1"/>
  <c r="E15" s="1"/>
  <c r="E77" s="1"/>
  <c r="E23"/>
  <c r="E19"/>
  <c r="E71"/>
  <c r="E65" l="1"/>
  <c r="E67" s="1"/>
  <c r="E47"/>
  <c r="E55" s="1"/>
  <c r="E43"/>
  <c r="E25"/>
  <c r="E27" s="1"/>
  <c r="E29" s="1"/>
  <c r="E31" s="1"/>
  <c r="E79"/>
  <c r="E45"/>
  <c r="E49"/>
  <c r="E73"/>
  <c r="E75" s="1"/>
  <c r="E53" l="1"/>
  <c r="E57" s="1"/>
  <c r="E59" s="1"/>
</calcChain>
</file>

<file path=xl/comments1.xml><?xml version="1.0" encoding="utf-8"?>
<comments xmlns="http://schemas.openxmlformats.org/spreadsheetml/2006/main">
  <authors>
    <author>Автор</author>
  </authors>
  <commentList>
    <comment ref="C11" authorId="0">
      <text>
        <r>
          <rPr>
            <sz val="9"/>
            <color indexed="81"/>
            <rFont val="Tahoma"/>
            <family val="2"/>
            <charset val="204"/>
          </rPr>
          <t>Давление на приеме насоса, при котором газосодержание не превышает предельно-допустимое, Мпа</t>
        </r>
      </text>
    </comment>
    <comment ref="C17" authorId="0">
      <text>
        <r>
          <rPr>
            <sz val="9"/>
            <color indexed="81"/>
            <rFont val="Tahoma"/>
            <family val="2"/>
            <charset val="204"/>
          </rPr>
          <t xml:space="preserve">Объемный коэффициент жидкости при давлении на входе в насос
</t>
        </r>
      </text>
    </comment>
    <comment ref="C21" authorId="0">
      <text>
        <r>
          <rPr>
            <sz val="9"/>
            <color indexed="81"/>
            <rFont val="Tahoma"/>
            <family val="2"/>
            <charset val="204"/>
          </rPr>
          <t xml:space="preserve">Объемное количество свободного газа на входе в насос,куб.м
</t>
        </r>
      </text>
    </comment>
    <comment ref="C27" authorId="0">
      <text>
        <r>
          <rPr>
            <sz val="9"/>
            <color indexed="81"/>
            <rFont val="Tahoma"/>
            <family val="2"/>
            <charset val="204"/>
          </rPr>
          <t xml:space="preserve">Приведенная скорость газа в сечении обсадной колонны на входе в насос,см/с
</t>
        </r>
      </text>
    </comment>
    <comment ref="C29" authorId="0">
      <text>
        <r>
          <rPr>
            <sz val="9"/>
            <color indexed="81"/>
            <rFont val="Tahoma"/>
            <family val="2"/>
            <charset val="204"/>
          </rPr>
          <t xml:space="preserve">13.Определяем истинное газосодержание на входе в насос:
где Сп - скорость всплытия газовых пузырьков, зависящая от обводненности продукции скважины (Сп = 0,02 см/c  при b &lt; 0,5 или Сп = 0,16 см/c при b &gt;  0,5).  
</t>
        </r>
      </text>
    </comment>
    <comment ref="C33" authorId="0">
      <text>
        <r>
          <rPr>
            <sz val="9"/>
            <color indexed="81"/>
            <rFont val="Tahoma"/>
            <family val="2"/>
            <charset val="204"/>
          </rPr>
          <t xml:space="preserve">Работа газа на участке "нагнетание насоса - устье скважины,МПа
</t>
        </r>
      </text>
    </comment>
    <comment ref="C37" authorId="0">
      <text>
        <r>
          <rPr>
            <sz val="9"/>
            <color indexed="81"/>
            <rFont val="Tahoma"/>
            <family val="2"/>
            <charset val="204"/>
          </rPr>
          <t xml:space="preserve">Выбор насосной установки по величине планируемого дебита и потребного давления
</t>
        </r>
      </text>
    </comment>
    <comment ref="C39" authorId="0">
      <text>
        <r>
          <rPr>
            <sz val="9"/>
            <color indexed="81"/>
            <rFont val="Tahoma"/>
            <family val="2"/>
            <charset val="204"/>
          </rPr>
          <t xml:space="preserve">Коэффициент изменения подачи насоса при работе на нефтеводо-газовой смеси относительно водяной характеристики
</t>
        </r>
      </text>
    </comment>
    <comment ref="D39" authorId="0">
      <text>
        <r>
          <rPr>
            <sz val="9"/>
            <color indexed="81"/>
            <rFont val="Tahoma"/>
            <family val="2"/>
            <charset val="204"/>
          </rPr>
          <t xml:space="preserve">KQ  = 1 - 4,95   0.85     QоВ -0.57
 где  - эффективная вязкость смеси;
QоВ - оптимальная подача насоса на воде.
</t>
        </r>
      </text>
    </comment>
    <comment ref="C40" authorId="0">
      <text>
        <r>
          <rPr>
            <sz val="9"/>
            <color indexed="81"/>
            <rFont val="Tahoma"/>
            <family val="2"/>
            <charset val="204"/>
          </rPr>
          <t xml:space="preserve">KQ  = 1 - 4,95   0.85     QоВ -0.57
 где  - эффективная вязкость смеси;
QоВ - оптимальная подача насоса на воде.
</t>
        </r>
      </text>
    </comment>
    <comment ref="C47" authorId="0">
      <text>
        <r>
          <rPr>
            <sz val="9"/>
            <color indexed="81"/>
            <rFont val="Tahoma"/>
            <family val="2"/>
            <charset val="204"/>
          </rPr>
          <t xml:space="preserve">Относительная подача на входе в насос в соответствую-щей точке водяной характеристики насоса
</t>
        </r>
      </text>
    </comment>
    <comment ref="C59" authorId="0">
      <text>
        <r>
          <rPr>
            <sz val="9"/>
            <color indexed="81"/>
            <rFont val="Tahoma"/>
            <family val="2"/>
            <charset val="204"/>
          </rPr>
          <t xml:space="preserve">       Z = H / hст ,
где hст - напор одной ступени выбранного насоса.
Число Z округляется до большего целочисленного значения и сравнивается со стандартным числом ступеней выбранного типоразмера насоса. Если расчетное число ступеней оказывается больше, чем указанное в технической документации на выбранный типоразмер насоса, то необходимо выбрать следующий стандартный типоразмер с большим числом ступеней и повторить расчет, начиная с п.17. 
Если расчетное число ступеней оказывается меньше, чем указанное в технической характеристике, но их разность составляет не более 5%, выбранный типоразмер насоса оставляется для дальнейшего расчета. Если стандартное число ступеней превышает  расчетное на 10%, то необходимо решение о разборке насоса и изъятии лишних ступеней. Дальнейший расчет ведется с п.18 для новых значений рабочей характеристики.
</t>
        </r>
      </text>
    </comment>
    <comment ref="C6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КПД насоса с учетом влияния вязкости, свобод-ного газа и режима работы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7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Мощность, потребляемая погружным электродвигателем при освоении скважины,кВт
</t>
        </r>
      </text>
    </comment>
    <comment ref="C77" authorId="0">
      <text>
        <r>
          <rPr>
            <b/>
            <sz val="9"/>
            <color indexed="81"/>
            <rFont val="Tahoma"/>
            <family val="2"/>
            <charset val="204"/>
          </rPr>
          <t>Проверяем уста-новку на максимально-допустимую температуру на приеме насоса</t>
        </r>
      </text>
    </comment>
    <comment ref="C79" authorId="0">
      <text>
        <r>
          <rPr>
            <b/>
            <sz val="9"/>
            <color indexed="81"/>
            <rFont val="Tahoma"/>
            <family val="2"/>
            <charset val="204"/>
          </rPr>
          <t>Проверяем установку на теплоотвод по минимально допустимой скорости охлаждающей жидкости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<sst xmlns="http://schemas.openxmlformats.org/spreadsheetml/2006/main" count="165" uniqueCount="163">
  <si>
    <t>№ п/п</t>
  </si>
  <si>
    <t>Наименование величины</t>
  </si>
  <si>
    <t>Пластовая температура</t>
  </si>
  <si>
    <t>№п/п</t>
  </si>
  <si>
    <t>Определяемая величина</t>
  </si>
  <si>
    <t>Результат</t>
  </si>
  <si>
    <t>Глубина расположения динамического уровня, м</t>
  </si>
  <si>
    <r>
      <t>Р</t>
    </r>
    <r>
      <rPr>
        <vertAlign val="subscript"/>
        <sz val="12"/>
        <color theme="1"/>
        <rFont val="Times New Roman"/>
        <family val="1"/>
        <charset val="204"/>
      </rPr>
      <t xml:space="preserve"> пр</t>
    </r>
    <r>
      <rPr>
        <sz val="12"/>
        <color theme="1"/>
        <rFont val="Times New Roman"/>
        <family val="1"/>
        <charset val="204"/>
      </rPr>
      <t xml:space="preserve"> = ( 1 – Г ) Р</t>
    </r>
    <r>
      <rPr>
        <vertAlign val="subscript"/>
        <sz val="12"/>
        <color theme="1"/>
        <rFont val="Times New Roman"/>
        <family val="1"/>
        <charset val="204"/>
      </rPr>
      <t xml:space="preserve">нас </t>
    </r>
  </si>
  <si>
    <r>
      <t>L = Н</t>
    </r>
    <r>
      <rPr>
        <vertAlign val="subscript"/>
        <sz val="12"/>
        <color theme="1"/>
        <rFont val="Times New Roman"/>
        <family val="1"/>
        <charset val="204"/>
      </rPr>
      <t xml:space="preserve">дин  </t>
    </r>
    <r>
      <rPr>
        <sz val="12"/>
        <color theme="1"/>
        <rFont val="Times New Roman"/>
        <family val="1"/>
        <charset val="204"/>
      </rPr>
      <t xml:space="preserve"> + P</t>
    </r>
    <r>
      <rPr>
        <vertAlign val="subscript"/>
        <sz val="12"/>
        <color theme="1"/>
        <rFont val="Times New Roman"/>
        <family val="1"/>
        <charset val="204"/>
      </rPr>
      <t>пр</t>
    </r>
    <r>
      <rPr>
        <sz val="12"/>
        <color theme="1"/>
        <rFont val="Times New Roman"/>
        <family val="1"/>
        <charset val="204"/>
      </rPr>
      <t xml:space="preserve"> / </t>
    </r>
    <r>
      <rPr>
        <sz val="12"/>
        <color theme="1"/>
        <rFont val="Symbol"/>
        <family val="1"/>
        <charset val="2"/>
      </rPr>
      <t>r</t>
    </r>
    <r>
      <rPr>
        <vertAlign val="subscript"/>
        <sz val="12"/>
        <color theme="1"/>
        <rFont val="Times New Roman"/>
        <family val="1"/>
        <charset val="204"/>
      </rPr>
      <t xml:space="preserve">см   </t>
    </r>
    <r>
      <rPr>
        <sz val="12"/>
        <color theme="1"/>
        <rFont val="Times New Roman"/>
        <family val="1"/>
        <charset val="204"/>
      </rPr>
      <t>g</t>
    </r>
  </si>
  <si>
    <r>
      <t>C = Q</t>
    </r>
    <r>
      <rPr>
        <vertAlign val="subscript"/>
        <sz val="12"/>
        <color theme="1"/>
        <rFont val="Times New Roman"/>
        <family val="1"/>
        <charset val="204"/>
      </rPr>
      <t>г.пр.с</t>
    </r>
    <r>
      <rPr>
        <sz val="12"/>
        <color theme="1"/>
        <rFont val="Times New Roman"/>
        <family val="1"/>
        <charset val="204"/>
      </rPr>
      <t xml:space="preserve"> / f </t>
    </r>
    <r>
      <rPr>
        <vertAlign val="subscript"/>
        <sz val="12"/>
        <color theme="1"/>
        <rFont val="Times New Roman"/>
        <family val="1"/>
        <charset val="204"/>
      </rPr>
      <t>cкв</t>
    </r>
  </si>
  <si>
    <t>Истинное газосодержание на входе в насос</t>
  </si>
  <si>
    <t>Работа газа на участке "забой-прием насоса,МПа</t>
  </si>
  <si>
    <t>Коэффициент сепарации газа на входе в насос</t>
  </si>
  <si>
    <r>
      <t>q = Q</t>
    </r>
    <r>
      <rPr>
        <vertAlign val="subscript"/>
        <sz val="12"/>
        <color theme="1"/>
        <rFont val="Times New Roman"/>
        <family val="1"/>
        <charset val="204"/>
      </rPr>
      <t>ж.пр</t>
    </r>
    <r>
      <rPr>
        <sz val="12"/>
        <color theme="1"/>
        <rFont val="Times New Roman"/>
        <family val="1"/>
        <charset val="204"/>
      </rPr>
      <t xml:space="preserve">  / Q</t>
    </r>
    <r>
      <rPr>
        <vertAlign val="subscript"/>
        <sz val="12"/>
        <color theme="1"/>
        <rFont val="Times New Roman"/>
        <family val="1"/>
        <charset val="204"/>
      </rPr>
      <t>оB</t>
    </r>
  </si>
  <si>
    <r>
      <t>q</t>
    </r>
    <r>
      <rPr>
        <vertAlign val="subscript"/>
        <sz val="12"/>
        <color theme="1"/>
        <rFont val="Times New Roman"/>
        <family val="1"/>
        <charset val="204"/>
      </rPr>
      <t>пр</t>
    </r>
    <r>
      <rPr>
        <sz val="12"/>
        <color theme="1"/>
        <rFont val="Times New Roman"/>
        <family val="1"/>
        <charset val="204"/>
      </rPr>
      <t xml:space="preserve"> = Q</t>
    </r>
    <r>
      <rPr>
        <vertAlign val="subscript"/>
        <sz val="12"/>
        <color theme="1"/>
        <rFont val="Times New Roman"/>
        <family val="1"/>
        <charset val="204"/>
      </rPr>
      <t>ж.пр</t>
    </r>
    <r>
      <rPr>
        <sz val="12"/>
        <color theme="1"/>
        <rFont val="Times New Roman"/>
        <family val="1"/>
        <charset val="204"/>
      </rPr>
      <t xml:space="preserve">  / Q</t>
    </r>
    <r>
      <rPr>
        <vertAlign val="subscript"/>
        <sz val="12"/>
        <color theme="1"/>
        <rFont val="Times New Roman"/>
        <family val="1"/>
        <charset val="204"/>
      </rPr>
      <t>оB</t>
    </r>
    <r>
      <rPr>
        <sz val="12"/>
        <color theme="1"/>
        <rFont val="Times New Roman"/>
        <family val="1"/>
        <charset val="204"/>
      </rPr>
      <t xml:space="preserve"> K</t>
    </r>
    <r>
      <rPr>
        <vertAlign val="subscript"/>
        <sz val="12"/>
        <color theme="1"/>
        <rFont val="Times New Roman"/>
        <family val="1"/>
        <charset val="204"/>
      </rPr>
      <t>Q</t>
    </r>
    <r>
      <rPr>
        <vertAlign val="subscript"/>
        <sz val="12"/>
        <color theme="1"/>
        <rFont val="Symbol"/>
        <family val="1"/>
        <charset val="2"/>
      </rPr>
      <t>n</t>
    </r>
    <r>
      <rPr>
        <sz val="12"/>
        <color theme="1"/>
        <rFont val="Times New Roman"/>
        <family val="1"/>
        <charset val="204"/>
      </rPr>
      <t xml:space="preserve"> </t>
    </r>
  </si>
  <si>
    <r>
      <t>b</t>
    </r>
    <r>
      <rPr>
        <vertAlign val="subscript"/>
        <sz val="12"/>
        <color theme="1"/>
        <rFont val="Times New Roman"/>
        <family val="1"/>
        <charset val="204"/>
      </rPr>
      <t xml:space="preserve">  пр</t>
    </r>
    <r>
      <rPr>
        <sz val="12"/>
        <color theme="1"/>
        <rFont val="Times New Roman"/>
        <family val="1"/>
        <charset val="204"/>
      </rPr>
      <t xml:space="preserve"> =  </t>
    </r>
    <r>
      <rPr>
        <sz val="12"/>
        <color theme="1"/>
        <rFont val="Symbol"/>
        <family val="1"/>
        <charset val="2"/>
      </rPr>
      <t>b</t>
    </r>
    <r>
      <rPr>
        <sz val="12"/>
        <color theme="1"/>
        <rFont val="Times New Roman"/>
        <family val="1"/>
        <charset val="204"/>
      </rPr>
      <t xml:space="preserve"> </t>
    </r>
    <r>
      <rPr>
        <vertAlign val="subscript"/>
        <sz val="12"/>
        <color theme="1"/>
        <rFont val="Times New Roman"/>
        <family val="1"/>
        <charset val="204"/>
      </rPr>
      <t>вх</t>
    </r>
    <r>
      <rPr>
        <sz val="12"/>
        <color theme="1"/>
        <rFont val="Times New Roman"/>
        <family val="1"/>
        <charset val="204"/>
      </rPr>
      <t xml:space="preserve"> ( 1 - К</t>
    </r>
    <r>
      <rPr>
        <vertAlign val="subscript"/>
        <sz val="12"/>
        <color theme="1"/>
        <rFont val="Times New Roman"/>
        <family val="1"/>
        <charset val="204"/>
      </rPr>
      <t>с</t>
    </r>
    <r>
      <rPr>
        <sz val="12"/>
        <color theme="1"/>
        <rFont val="Times New Roman"/>
        <family val="1"/>
        <charset val="204"/>
      </rPr>
      <t xml:space="preserve">  )</t>
    </r>
  </si>
  <si>
    <t>Коэффициент изменения напора насоса с учетом влияния газа</t>
  </si>
  <si>
    <r>
      <t xml:space="preserve">Н = Р / </t>
    </r>
    <r>
      <rPr>
        <sz val="12"/>
        <color theme="1"/>
        <rFont val="Symbol"/>
        <family val="1"/>
        <charset val="2"/>
      </rPr>
      <t>r</t>
    </r>
    <r>
      <rPr>
        <sz val="12"/>
        <color theme="1"/>
        <rFont val="Times New Roman"/>
        <family val="1"/>
        <charset val="204"/>
      </rPr>
      <t xml:space="preserve"> g К К</t>
    </r>
    <r>
      <rPr>
        <vertAlign val="subscript"/>
        <sz val="12"/>
        <color theme="1"/>
        <rFont val="Times New Roman"/>
        <family val="1"/>
        <charset val="204"/>
      </rPr>
      <t>Н</t>
    </r>
    <r>
      <rPr>
        <vertAlign val="subscript"/>
        <sz val="12"/>
        <color theme="1"/>
        <rFont val="Symbol"/>
        <family val="1"/>
        <charset val="2"/>
      </rPr>
      <t>n</t>
    </r>
  </si>
  <si>
    <t>Необходимое число ступеней насоса, шт</t>
  </si>
  <si>
    <t>Выбираем стандартное количество ступеней насоса</t>
  </si>
  <si>
    <r>
      <t>h</t>
    </r>
    <r>
      <rPr>
        <sz val="12"/>
        <color theme="1"/>
        <rFont val="Times New Roman"/>
        <family val="1"/>
        <charset val="204"/>
      </rPr>
      <t xml:space="preserve"> = 0.8 К</t>
    </r>
    <r>
      <rPr>
        <vertAlign val="subscript"/>
        <sz val="12"/>
        <color theme="1"/>
        <rFont val="Symbol"/>
        <family val="1"/>
        <charset val="2"/>
      </rPr>
      <t>hn</t>
    </r>
    <r>
      <rPr>
        <sz val="12"/>
        <color theme="1"/>
        <rFont val="Times New Roman"/>
        <family val="1"/>
        <charset val="204"/>
      </rPr>
      <t xml:space="preserve"> К</t>
    </r>
    <r>
      <rPr>
        <vertAlign val="subscript"/>
        <sz val="12"/>
        <color theme="1"/>
        <rFont val="Symbol"/>
        <family val="1"/>
        <charset val="2"/>
      </rPr>
      <t>h</t>
    </r>
    <r>
      <rPr>
        <vertAlign val="subscript"/>
        <sz val="12"/>
        <color theme="1"/>
        <rFont val="Times New Roman"/>
        <family val="1"/>
        <charset val="204"/>
      </rPr>
      <t>q</t>
    </r>
    <r>
      <rPr>
        <sz val="12"/>
        <color theme="1"/>
        <rFont val="Times New Roman"/>
        <family val="1"/>
        <charset val="204"/>
      </rPr>
      <t xml:space="preserve">   </t>
    </r>
    <r>
      <rPr>
        <sz val="12"/>
        <color theme="1"/>
        <rFont val="Symbol"/>
        <family val="1"/>
        <charset val="2"/>
      </rPr>
      <t>h</t>
    </r>
    <r>
      <rPr>
        <vertAlign val="subscript"/>
        <sz val="12"/>
        <color theme="1"/>
        <rFont val="Times New Roman"/>
        <family val="1"/>
        <charset val="204"/>
      </rPr>
      <t>оВ</t>
    </r>
  </si>
  <si>
    <r>
      <t xml:space="preserve"> N = P</t>
    </r>
    <r>
      <rPr>
        <vertAlign val="subscript"/>
        <sz val="12"/>
        <color theme="1"/>
        <rFont val="Times New Roman"/>
        <family val="1"/>
        <charset val="204"/>
      </rPr>
      <t>196</t>
    </r>
    <r>
      <rPr>
        <sz val="12"/>
        <color theme="1"/>
        <rFont val="Times New Roman"/>
        <family val="1"/>
        <charset val="204"/>
      </rPr>
      <t xml:space="preserve"> *  Q</t>
    </r>
    <r>
      <rPr>
        <vertAlign val="subscript"/>
        <sz val="12"/>
        <color theme="1"/>
        <rFont val="Times New Roman"/>
        <family val="1"/>
        <charset val="204"/>
      </rPr>
      <t>с</t>
    </r>
    <r>
      <rPr>
        <sz val="12"/>
        <color theme="1"/>
        <rFont val="Times New Roman"/>
        <family val="1"/>
        <charset val="204"/>
      </rPr>
      <t xml:space="preserve">  /  </t>
    </r>
    <r>
      <rPr>
        <sz val="12"/>
        <color theme="1"/>
        <rFont val="Symbol"/>
        <family val="1"/>
        <charset val="2"/>
      </rPr>
      <t>h</t>
    </r>
  </si>
  <si>
    <t>Мощность погружного двигателя, кВт</t>
  </si>
  <si>
    <r>
      <t>N</t>
    </r>
    <r>
      <rPr>
        <vertAlign val="subscript"/>
        <sz val="12"/>
        <color theme="1"/>
        <rFont val="Times New Roman"/>
        <family val="1"/>
        <charset val="204"/>
      </rPr>
      <t>ПЭД</t>
    </r>
    <r>
      <rPr>
        <sz val="12"/>
        <color theme="1"/>
        <rFont val="Times New Roman"/>
        <family val="1"/>
        <charset val="204"/>
      </rPr>
      <t xml:space="preserve"> = N  /  </t>
    </r>
    <r>
      <rPr>
        <sz val="12"/>
        <color theme="1"/>
        <rFont val="Symbol"/>
        <family val="1"/>
        <charset val="2"/>
      </rPr>
      <t>h</t>
    </r>
    <r>
      <rPr>
        <vertAlign val="subscript"/>
        <sz val="12"/>
        <color theme="1"/>
        <rFont val="Times New Roman"/>
        <family val="1"/>
        <charset val="204"/>
      </rPr>
      <t>ПЭД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</si>
  <si>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гл</t>
    </r>
    <r>
      <rPr>
        <sz val="12"/>
        <color theme="1"/>
        <rFont val="Times New Roman"/>
        <family val="1"/>
        <charset val="204"/>
      </rPr>
      <t xml:space="preserve"> = </t>
    </r>
    <r>
      <rPr>
        <sz val="12"/>
        <color theme="1"/>
        <rFont val="Symbol"/>
        <family val="1"/>
        <charset val="2"/>
      </rPr>
      <t>r</t>
    </r>
    <r>
      <rPr>
        <vertAlign val="subscript"/>
        <sz val="12"/>
        <color theme="1"/>
        <rFont val="Times New Roman"/>
        <family val="1"/>
        <charset val="204"/>
      </rPr>
      <t>гл</t>
    </r>
    <r>
      <rPr>
        <sz val="12"/>
        <color theme="1"/>
        <rFont val="Times New Roman"/>
        <family val="1"/>
        <charset val="204"/>
      </rPr>
      <t xml:space="preserve"> g L  + Р</t>
    </r>
    <r>
      <rPr>
        <vertAlign val="subscript"/>
        <sz val="12"/>
        <color theme="1"/>
        <rFont val="Times New Roman"/>
        <family val="1"/>
        <charset val="204"/>
      </rPr>
      <t>буф</t>
    </r>
    <r>
      <rPr>
        <sz val="12"/>
        <color theme="1"/>
        <rFont val="Times New Roman"/>
        <family val="1"/>
        <charset val="204"/>
      </rPr>
      <t xml:space="preserve"> </t>
    </r>
  </si>
  <si>
    <r>
      <t>Н</t>
    </r>
    <r>
      <rPr>
        <vertAlign val="subscript"/>
        <sz val="12"/>
        <color theme="1"/>
        <rFont val="Times New Roman"/>
        <family val="1"/>
        <charset val="204"/>
      </rPr>
      <t>гл</t>
    </r>
    <r>
      <rPr>
        <sz val="12"/>
        <color theme="1"/>
        <rFont val="Times New Roman"/>
        <family val="1"/>
        <charset val="204"/>
      </rPr>
      <t xml:space="preserve"> = Р</t>
    </r>
    <r>
      <rPr>
        <vertAlign val="subscript"/>
        <sz val="12"/>
        <color theme="1"/>
        <rFont val="Times New Roman"/>
        <family val="1"/>
        <charset val="204"/>
      </rPr>
      <t>гл</t>
    </r>
    <r>
      <rPr>
        <sz val="12"/>
        <color theme="1"/>
        <rFont val="Times New Roman"/>
        <family val="1"/>
        <charset val="204"/>
      </rPr>
      <t xml:space="preserve"> / </t>
    </r>
    <r>
      <rPr>
        <sz val="12"/>
        <color theme="1"/>
        <rFont val="Symbol"/>
        <family val="1"/>
        <charset val="2"/>
      </rPr>
      <t>r</t>
    </r>
    <r>
      <rPr>
        <vertAlign val="subscript"/>
        <sz val="12"/>
        <color theme="1"/>
        <rFont val="Times New Roman"/>
        <family val="1"/>
        <charset val="204"/>
      </rPr>
      <t>гл</t>
    </r>
    <r>
      <rPr>
        <sz val="12"/>
        <color theme="1"/>
        <rFont val="Times New Roman"/>
        <family val="1"/>
        <charset val="204"/>
      </rPr>
      <t xml:space="preserve"> g </t>
    </r>
  </si>
  <si>
    <t>Мощность насоса при освоении скважины, кВт</t>
  </si>
  <si>
    <r>
      <t xml:space="preserve">N </t>
    </r>
    <r>
      <rPr>
        <vertAlign val="subscript"/>
        <sz val="12"/>
        <color theme="1"/>
        <rFont val="Times New Roman"/>
        <family val="1"/>
        <charset val="204"/>
      </rPr>
      <t>гл</t>
    </r>
    <r>
      <rPr>
        <sz val="12"/>
        <color theme="1"/>
        <rFont val="Times New Roman"/>
        <family val="1"/>
        <charset val="204"/>
      </rPr>
      <t xml:space="preserve"> = P </t>
    </r>
    <r>
      <rPr>
        <vertAlign val="subscript"/>
        <sz val="12"/>
        <color theme="1"/>
        <rFont val="Times New Roman"/>
        <family val="1"/>
        <charset val="204"/>
      </rPr>
      <t>гл</t>
    </r>
    <r>
      <rPr>
        <sz val="12"/>
        <color theme="1"/>
        <rFont val="Times New Roman"/>
        <family val="1"/>
        <charset val="204"/>
      </rPr>
      <t xml:space="preserve"> Q</t>
    </r>
    <r>
      <rPr>
        <vertAlign val="subscript"/>
        <sz val="12"/>
        <color theme="1"/>
        <rFont val="Times New Roman"/>
        <family val="1"/>
        <charset val="204"/>
      </rPr>
      <t>с</t>
    </r>
    <r>
      <rPr>
        <sz val="12"/>
        <color theme="1"/>
        <rFont val="Times New Roman"/>
        <family val="1"/>
        <charset val="204"/>
      </rPr>
      <t xml:space="preserve"> /  </t>
    </r>
    <r>
      <rPr>
        <sz val="12"/>
        <color theme="1"/>
        <rFont val="Symbol"/>
        <family val="1"/>
        <charset val="2"/>
      </rPr>
      <t>h</t>
    </r>
  </si>
  <si>
    <r>
      <t xml:space="preserve">N </t>
    </r>
    <r>
      <rPr>
        <vertAlign val="subscript"/>
        <sz val="12"/>
        <color theme="1"/>
        <rFont val="Times New Roman"/>
        <family val="1"/>
        <charset val="204"/>
      </rPr>
      <t>ПЭД. гл</t>
    </r>
    <r>
      <rPr>
        <sz val="12"/>
        <color theme="1"/>
        <rFont val="Times New Roman"/>
        <family val="1"/>
        <charset val="204"/>
      </rPr>
      <t xml:space="preserve"> = N </t>
    </r>
    <r>
      <rPr>
        <vertAlign val="subscript"/>
        <sz val="12"/>
        <color theme="1"/>
        <rFont val="Times New Roman"/>
        <family val="1"/>
        <charset val="204"/>
      </rPr>
      <t>гл</t>
    </r>
    <r>
      <rPr>
        <sz val="12"/>
        <color theme="1"/>
        <rFont val="Times New Roman"/>
        <family val="1"/>
        <charset val="204"/>
      </rPr>
      <t xml:space="preserve"> /  </t>
    </r>
    <r>
      <rPr>
        <sz val="12"/>
        <color theme="1"/>
        <rFont val="Symbol"/>
        <family val="1"/>
        <charset val="2"/>
      </rPr>
      <t>h</t>
    </r>
    <r>
      <rPr>
        <vertAlign val="subscript"/>
        <sz val="12"/>
        <color theme="1"/>
        <rFont val="Times New Roman"/>
        <family val="1"/>
        <charset val="204"/>
      </rPr>
      <t>ПЭД</t>
    </r>
  </si>
  <si>
    <r>
      <t xml:space="preserve">Т </t>
    </r>
    <r>
      <rPr>
        <sz val="12"/>
        <color theme="1"/>
        <rFont val="Symbol"/>
        <family val="1"/>
        <charset val="2"/>
      </rPr>
      <t>&gt;</t>
    </r>
    <r>
      <rPr>
        <sz val="12"/>
        <color theme="1"/>
        <rFont val="Times New Roman"/>
        <family val="1"/>
        <charset val="204"/>
      </rPr>
      <t xml:space="preserve"> =</t>
    </r>
    <r>
      <rPr>
        <sz val="12"/>
        <color theme="1"/>
        <rFont val="Symbol"/>
        <family val="1"/>
        <charset val="2"/>
      </rPr>
      <t>&lt;</t>
    </r>
    <r>
      <rPr>
        <sz val="12"/>
        <color theme="1"/>
        <rFont val="Times New Roman"/>
        <family val="1"/>
        <charset val="204"/>
      </rPr>
      <t xml:space="preserve"> [T],</t>
    </r>
  </si>
  <si>
    <t xml:space="preserve">Забойное давление, для заданный дебит скважины, МПа  </t>
  </si>
  <si>
    <r>
      <t>Р</t>
    </r>
    <r>
      <rPr>
        <vertAlign val="subscript"/>
        <sz val="12"/>
        <color theme="1"/>
        <rFont val="Times New Roman"/>
        <family val="1"/>
        <charset val="204"/>
      </rPr>
      <t>заб</t>
    </r>
    <r>
      <rPr>
        <sz val="12"/>
        <color theme="1"/>
        <rFont val="Times New Roman"/>
        <family val="1"/>
        <charset val="204"/>
      </rPr>
      <t xml:space="preserve">  = Р</t>
    </r>
    <r>
      <rPr>
        <vertAlign val="subscript"/>
        <sz val="12"/>
        <color theme="1"/>
        <rFont val="Times New Roman"/>
        <family val="1"/>
        <charset val="204"/>
      </rPr>
      <t>пл</t>
    </r>
    <r>
      <rPr>
        <sz val="12"/>
        <color theme="1"/>
        <rFont val="Times New Roman"/>
        <family val="1"/>
        <charset val="204"/>
      </rPr>
      <t xml:space="preserve"> -  Q / K</t>
    </r>
    <r>
      <rPr>
        <vertAlign val="subscript"/>
        <sz val="12"/>
        <color theme="1"/>
        <rFont val="Times New Roman"/>
        <family val="1"/>
        <charset val="204"/>
      </rPr>
      <t>прод</t>
    </r>
  </si>
  <si>
    <t xml:space="preserve">Глубина подвески насоса,м </t>
  </si>
  <si>
    <t>Давление на приеме насоса, Мпа</t>
  </si>
  <si>
    <r>
      <rPr>
        <sz val="12"/>
        <color theme="1"/>
        <rFont val="Calibri"/>
        <family val="2"/>
        <charset val="204"/>
      </rPr>
      <t>ρ</t>
    </r>
    <r>
      <rPr>
        <vertAlign val="subscript"/>
        <sz val="12"/>
        <color theme="1"/>
        <rFont val="Times New Roman"/>
        <family val="1"/>
        <charset val="204"/>
      </rPr>
      <t>в</t>
    </r>
  </si>
  <si>
    <t>b</t>
  </si>
  <si>
    <t>Значение величины</t>
  </si>
  <si>
    <r>
      <t>r</t>
    </r>
    <r>
      <rPr>
        <vertAlign val="subscript"/>
        <sz val="12"/>
        <color theme="1"/>
        <rFont val="Times New Roman"/>
        <family val="1"/>
        <charset val="204"/>
      </rPr>
      <t>н</t>
    </r>
    <r>
      <rPr>
        <sz val="12"/>
        <color theme="1"/>
        <rFont val="Times New Roman"/>
        <family val="1"/>
        <charset val="204"/>
      </rPr>
      <t xml:space="preserve"> </t>
    </r>
  </si>
  <si>
    <r>
      <t>r</t>
    </r>
    <r>
      <rPr>
        <vertAlign val="subscript"/>
        <sz val="12"/>
        <color theme="1"/>
        <rFont val="Times New Roman"/>
        <family val="1"/>
        <charset val="204"/>
      </rPr>
      <t>г</t>
    </r>
    <r>
      <rPr>
        <sz val="12"/>
        <color theme="1"/>
        <rFont val="Times New Roman"/>
        <family val="1"/>
        <charset val="204"/>
      </rPr>
      <t xml:space="preserve"> 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</si>
  <si>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пл</t>
    </r>
  </si>
  <si>
    <t>Q</t>
  </si>
  <si>
    <r>
      <t>K</t>
    </r>
    <r>
      <rPr>
        <vertAlign val="subscript"/>
        <sz val="12"/>
        <color theme="1"/>
        <rFont val="Times New Roman"/>
        <family val="1"/>
        <charset val="204"/>
      </rPr>
      <t>прод</t>
    </r>
  </si>
  <si>
    <r>
      <t>r</t>
    </r>
    <r>
      <rPr>
        <vertAlign val="subscript"/>
        <sz val="12"/>
        <color theme="1"/>
        <rFont val="Times New Roman"/>
        <family val="1"/>
        <charset val="204"/>
      </rPr>
      <t>см</t>
    </r>
    <r>
      <rPr>
        <sz val="12"/>
        <color theme="1"/>
        <rFont val="Times New Roman"/>
        <family val="1"/>
        <charset val="204"/>
      </rPr>
      <t xml:space="preserve"> = ([</t>
    </r>
    <r>
      <rPr>
        <sz val="12"/>
        <color theme="1"/>
        <rFont val="Symbol"/>
        <family val="1"/>
        <charset val="2"/>
      </rPr>
      <t>r</t>
    </r>
    <r>
      <rPr>
        <vertAlign val="subscript"/>
        <sz val="12"/>
        <color theme="1"/>
        <rFont val="Times New Roman"/>
        <family val="1"/>
        <charset val="204"/>
      </rPr>
      <t>в</t>
    </r>
    <r>
      <rPr>
        <sz val="12"/>
        <color theme="1"/>
        <rFont val="Times New Roman"/>
        <family val="1"/>
        <charset val="204"/>
      </rPr>
      <t xml:space="preserve"> b + </t>
    </r>
    <r>
      <rPr>
        <sz val="12"/>
        <color theme="1"/>
        <rFont val="Symbol"/>
        <family val="1"/>
        <charset val="2"/>
      </rPr>
      <t>r</t>
    </r>
    <r>
      <rPr>
        <vertAlign val="subscript"/>
        <sz val="12"/>
        <color theme="1"/>
        <rFont val="Times New Roman"/>
        <family val="1"/>
        <charset val="204"/>
      </rPr>
      <t>н</t>
    </r>
    <r>
      <rPr>
        <sz val="12"/>
        <color theme="1"/>
        <rFont val="Times New Roman"/>
        <family val="1"/>
        <charset val="204"/>
      </rPr>
      <t xml:space="preserve"> (1-b)] (1-Г) + </t>
    </r>
    <r>
      <rPr>
        <sz val="12"/>
        <color theme="1"/>
        <rFont val="Symbol"/>
        <family val="1"/>
        <charset val="2"/>
      </rPr>
      <t>r</t>
    </r>
    <r>
      <rPr>
        <vertAlign val="subscript"/>
        <sz val="12"/>
        <color theme="1"/>
        <rFont val="Times New Roman"/>
        <family val="1"/>
        <charset val="204"/>
      </rPr>
      <t>г</t>
    </r>
    <r>
      <rPr>
        <sz val="12"/>
        <color theme="1"/>
        <rFont val="Times New Roman"/>
        <family val="1"/>
        <charset val="204"/>
      </rPr>
      <t xml:space="preserve"> Г</t>
    </r>
  </si>
  <si>
    <t>Г</t>
  </si>
  <si>
    <t xml:space="preserve">Текущее объемное газосодержание; </t>
  </si>
  <si>
    <r>
      <t>L</t>
    </r>
    <r>
      <rPr>
        <vertAlign val="subscript"/>
        <sz val="12"/>
        <color theme="1"/>
        <rFont val="Times New Roman"/>
        <family val="1"/>
        <charset val="204"/>
      </rPr>
      <t>скв</t>
    </r>
  </si>
  <si>
    <t>g</t>
  </si>
  <si>
    <r>
      <t>Н</t>
    </r>
    <r>
      <rPr>
        <vertAlign val="subscript"/>
        <sz val="12"/>
        <color theme="1"/>
        <rFont val="Times New Roman"/>
        <family val="1"/>
        <charset val="204"/>
      </rPr>
      <t>дин</t>
    </r>
    <r>
      <rPr>
        <sz val="12"/>
        <color theme="1"/>
        <rFont val="Times New Roman"/>
        <family val="1"/>
        <charset val="204"/>
      </rPr>
      <t xml:space="preserve"> = L</t>
    </r>
    <r>
      <rPr>
        <vertAlign val="subscript"/>
        <sz val="12"/>
        <color theme="1"/>
        <rFont val="Times New Roman"/>
        <family val="1"/>
        <charset val="204"/>
      </rPr>
      <t>скв</t>
    </r>
    <r>
      <rPr>
        <sz val="12"/>
        <color theme="1"/>
        <rFont val="Times New Roman"/>
        <family val="1"/>
        <charset val="204"/>
      </rPr>
      <t xml:space="preserve"> – P</t>
    </r>
    <r>
      <rPr>
        <vertAlign val="subscript"/>
        <sz val="12"/>
        <color theme="1"/>
        <rFont val="Times New Roman"/>
        <family val="1"/>
        <charset val="204"/>
      </rPr>
      <t>заб</t>
    </r>
    <r>
      <rPr>
        <sz val="12"/>
        <color theme="1"/>
        <rFont val="Times New Roman"/>
        <family val="1"/>
        <charset val="204"/>
      </rPr>
      <t xml:space="preserve"> / </t>
    </r>
    <r>
      <rPr>
        <sz val="12"/>
        <color theme="1"/>
        <rFont val="Symbol"/>
        <family val="1"/>
        <charset val="2"/>
      </rPr>
      <t>r</t>
    </r>
    <r>
      <rPr>
        <vertAlign val="subscript"/>
        <sz val="12"/>
        <color theme="1"/>
        <rFont val="Times New Roman"/>
        <family val="1"/>
        <charset val="204"/>
      </rPr>
      <t>см *</t>
    </r>
    <r>
      <rPr>
        <sz val="12"/>
        <color theme="1"/>
        <rFont val="Times New Roman"/>
        <family val="1"/>
        <charset val="204"/>
      </rPr>
      <t>g</t>
    </r>
  </si>
  <si>
    <r>
      <t>T = T</t>
    </r>
    <r>
      <rPr>
        <vertAlign val="subscript"/>
        <sz val="12"/>
        <color theme="1"/>
        <rFont val="Times New Roman"/>
        <family val="1"/>
        <charset val="204"/>
      </rPr>
      <t>пл</t>
    </r>
    <r>
      <rPr>
        <sz val="12"/>
        <color theme="1"/>
        <rFont val="Times New Roman"/>
        <family val="1"/>
        <charset val="204"/>
      </rPr>
      <t xml:space="preserve"> –  - (Lскв - L) * Gт;</t>
    </r>
  </si>
  <si>
    <t>Температура пластовой жидкости на приеме насоса, С</t>
  </si>
  <si>
    <t xml:space="preserve">Объемный коэффициент жидкости </t>
  </si>
  <si>
    <t>Дебит жидкости на входе в насос,куб.м/сут</t>
  </si>
  <si>
    <r>
      <t>G</t>
    </r>
    <r>
      <rPr>
        <vertAlign val="subscript"/>
        <sz val="12"/>
        <color theme="1"/>
        <rFont val="Times New Roman"/>
        <family val="1"/>
        <charset val="204"/>
      </rPr>
      <t>пр</t>
    </r>
    <r>
      <rPr>
        <sz val="12"/>
        <color theme="1"/>
        <rFont val="Times New Roman"/>
        <family val="1"/>
        <charset val="204"/>
      </rPr>
      <t xml:space="preserve"> = G*(1-b) * [1- (Pпр / Рнас )],</t>
    </r>
  </si>
  <si>
    <t>Газосодержание на входе в насос</t>
  </si>
  <si>
    <r>
      <t>b</t>
    </r>
    <r>
      <rPr>
        <vertAlign val="subscript"/>
        <sz val="12"/>
        <color theme="1"/>
        <rFont val="Times New Roman"/>
        <family val="1"/>
        <charset val="204"/>
      </rPr>
      <t>вх</t>
    </r>
    <r>
      <rPr>
        <sz val="12"/>
        <color theme="1"/>
        <rFont val="Times New Roman"/>
        <family val="1"/>
        <charset val="204"/>
      </rPr>
      <t xml:space="preserve"> = 1 / [(( 1 + +Рпр*10-5) В*) / Gпр + + 1]</t>
    </r>
  </si>
  <si>
    <t>Объемное кол-во свободного газа на входе в насос,куб.м</t>
  </si>
  <si>
    <t>T</t>
  </si>
  <si>
    <t>G</t>
  </si>
  <si>
    <r>
      <t xml:space="preserve">B= b + (1-b) [ 1 + (B - 1)  </t>
    </r>
    <r>
      <rPr>
        <sz val="12"/>
        <color theme="1"/>
        <rFont val="Symbol"/>
        <family val="1"/>
        <charset val="2"/>
      </rPr>
      <t>Ö</t>
    </r>
    <r>
      <rPr>
        <sz val="12"/>
        <color theme="1"/>
        <rFont val="Times New Roman"/>
        <family val="1"/>
        <charset val="204"/>
      </rPr>
      <t>P</t>
    </r>
    <r>
      <rPr>
        <vertAlign val="subscript"/>
        <sz val="12"/>
        <color theme="1"/>
        <rFont val="Times New Roman"/>
        <family val="1"/>
        <charset val="204"/>
      </rPr>
      <t>пр</t>
    </r>
    <r>
      <rPr>
        <sz val="12"/>
        <color theme="1"/>
        <rFont val="Times New Roman"/>
        <family val="1"/>
        <charset val="204"/>
      </rPr>
      <t xml:space="preserve"> / P</t>
    </r>
    <r>
      <rPr>
        <vertAlign val="subscript"/>
        <sz val="12"/>
        <color theme="1"/>
        <rFont val="Times New Roman"/>
        <family val="1"/>
        <charset val="204"/>
      </rPr>
      <t xml:space="preserve">нас   </t>
    </r>
  </si>
  <si>
    <r>
      <t>Q</t>
    </r>
    <r>
      <rPr>
        <vertAlign val="subscript"/>
        <sz val="12"/>
        <color theme="1"/>
        <rFont val="Times New Roman"/>
        <family val="1"/>
        <charset val="204"/>
      </rPr>
      <t>пр</t>
    </r>
    <r>
      <rPr>
        <sz val="12"/>
        <color theme="1"/>
        <rFont val="Times New Roman"/>
        <family val="1"/>
        <charset val="204"/>
      </rPr>
      <t xml:space="preserve">  =  Q *  B*</t>
    </r>
  </si>
  <si>
    <r>
      <t>j</t>
    </r>
    <r>
      <rPr>
        <sz val="12"/>
        <color theme="1"/>
        <rFont val="Times New Roman"/>
        <family val="1"/>
        <charset val="204"/>
      </rPr>
      <t xml:space="preserve"> = </t>
    </r>
    <r>
      <rPr>
        <sz val="12"/>
        <color theme="1"/>
        <rFont val="Symbol"/>
        <family val="1"/>
        <charset val="2"/>
      </rPr>
      <t>b</t>
    </r>
    <r>
      <rPr>
        <vertAlign val="subscript"/>
        <sz val="12"/>
        <color theme="1"/>
        <rFont val="Times New Roman"/>
        <family val="1"/>
        <charset val="204"/>
      </rPr>
      <t>вх</t>
    </r>
    <r>
      <rPr>
        <sz val="12"/>
        <color theme="1"/>
        <rFont val="Times New Roman"/>
        <family val="1"/>
        <charset val="204"/>
      </rPr>
      <t xml:space="preserve"> / [ 1 +( C</t>
    </r>
    <r>
      <rPr>
        <vertAlign val="subscript"/>
        <sz val="12"/>
        <color theme="1"/>
        <rFont val="Times New Roman"/>
        <family val="1"/>
        <charset val="204"/>
      </rPr>
      <t>п</t>
    </r>
    <r>
      <rPr>
        <sz val="12"/>
        <color theme="1"/>
        <rFont val="Times New Roman"/>
        <family val="1"/>
        <charset val="204"/>
      </rPr>
      <t xml:space="preserve">  / C ) </t>
    </r>
    <r>
      <rPr>
        <sz val="12"/>
        <color theme="1"/>
        <rFont val="Symbol"/>
        <family val="1"/>
        <charset val="2"/>
      </rPr>
      <t>b</t>
    </r>
    <r>
      <rPr>
        <vertAlign val="subscript"/>
        <sz val="12"/>
        <color theme="1"/>
        <rFont val="Times New Roman"/>
        <family val="1"/>
        <charset val="204"/>
      </rPr>
      <t>вх</t>
    </r>
    <r>
      <rPr>
        <sz val="12"/>
        <color theme="1"/>
        <rFont val="Times New Roman"/>
        <family val="1"/>
        <charset val="204"/>
      </rPr>
      <t xml:space="preserve"> ]</t>
    </r>
  </si>
  <si>
    <r>
      <t>Q</t>
    </r>
    <r>
      <rPr>
        <vertAlign val="subscript"/>
        <sz val="12"/>
        <color theme="1"/>
        <rFont val="Times New Roman"/>
        <family val="1"/>
        <charset val="204"/>
      </rPr>
      <t>г.пр</t>
    </r>
    <r>
      <rPr>
        <sz val="12"/>
        <color theme="1"/>
        <rFont val="Times New Roman"/>
        <family val="1"/>
        <charset val="204"/>
      </rPr>
      <t xml:space="preserve">  = (1-b)*Q</t>
    </r>
    <r>
      <rPr>
        <vertAlign val="subscript"/>
        <sz val="12"/>
        <color theme="1"/>
        <rFont val="Times New Roman"/>
        <family val="1"/>
        <charset val="204"/>
      </rPr>
      <t xml:space="preserve">пр  </t>
    </r>
    <r>
      <rPr>
        <sz val="12"/>
        <color theme="1"/>
        <rFont val="Symbol"/>
        <family val="1"/>
        <charset val="2"/>
      </rPr>
      <t>b</t>
    </r>
    <r>
      <rPr>
        <vertAlign val="subscript"/>
        <sz val="12"/>
        <color theme="1"/>
        <rFont val="Times New Roman"/>
        <family val="1"/>
        <charset val="204"/>
      </rPr>
      <t>вх</t>
    </r>
    <r>
      <rPr>
        <sz val="12"/>
        <color theme="1"/>
        <rFont val="Times New Roman"/>
        <family val="1"/>
        <charset val="204"/>
      </rPr>
      <t xml:space="preserve"> / ( 1 -</t>
    </r>
    <r>
      <rPr>
        <sz val="12"/>
        <color theme="1"/>
        <rFont val="Symbol"/>
        <family val="1"/>
        <charset val="2"/>
      </rPr>
      <t>b</t>
    </r>
    <r>
      <rPr>
        <vertAlign val="subscript"/>
        <sz val="12"/>
        <color theme="1"/>
        <rFont val="Times New Roman"/>
        <family val="1"/>
        <charset val="204"/>
      </rPr>
      <t>вх</t>
    </r>
    <r>
      <rPr>
        <sz val="12"/>
        <color theme="1"/>
        <rFont val="Times New Roman"/>
        <family val="1"/>
        <charset val="204"/>
      </rPr>
      <t>)</t>
    </r>
  </si>
  <si>
    <r>
      <t>P</t>
    </r>
    <r>
      <rPr>
        <vertAlign val="subscript"/>
        <sz val="12"/>
        <color theme="1"/>
        <rFont val="Times New Roman"/>
        <family val="1"/>
        <charset val="204"/>
      </rPr>
      <t>г1</t>
    </r>
    <r>
      <rPr>
        <sz val="12"/>
        <color theme="1"/>
        <rFont val="Times New Roman"/>
        <family val="1"/>
        <charset val="204"/>
      </rPr>
      <t xml:space="preserve">  = P</t>
    </r>
    <r>
      <rPr>
        <vertAlign val="subscript"/>
        <sz val="12"/>
        <color theme="1"/>
        <rFont val="Times New Roman"/>
        <family val="1"/>
        <charset val="204"/>
      </rPr>
      <t>нас</t>
    </r>
    <r>
      <rPr>
        <sz val="12"/>
        <color theme="1"/>
        <rFont val="Times New Roman"/>
        <family val="1"/>
        <charset val="204"/>
      </rPr>
      <t xml:space="preserve"> { [ 1 / (1 - 0,4 </t>
    </r>
    <r>
      <rPr>
        <sz val="12"/>
        <color theme="1"/>
        <rFont val="Symbol"/>
        <family val="1"/>
        <charset val="2"/>
      </rPr>
      <t>j</t>
    </r>
    <r>
      <rPr>
        <sz val="12"/>
        <color theme="1"/>
        <rFont val="Times New Roman"/>
        <family val="1"/>
        <charset val="204"/>
      </rPr>
      <t xml:space="preserve"> )] - 1 }</t>
    </r>
  </si>
  <si>
    <r>
      <t>P</t>
    </r>
    <r>
      <rPr>
        <vertAlign val="subscript"/>
        <sz val="12"/>
        <color theme="1"/>
        <rFont val="Times New Roman"/>
        <family val="1"/>
        <charset val="204"/>
      </rPr>
      <t>г2</t>
    </r>
    <r>
      <rPr>
        <sz val="12"/>
        <color theme="1"/>
        <rFont val="Times New Roman"/>
        <family val="1"/>
        <charset val="204"/>
      </rPr>
      <t xml:space="preserve">  = P</t>
    </r>
    <r>
      <rPr>
        <vertAlign val="subscript"/>
        <sz val="12"/>
        <color theme="1"/>
        <rFont val="Times New Roman"/>
        <family val="1"/>
        <charset val="204"/>
      </rPr>
      <t>нас</t>
    </r>
    <r>
      <rPr>
        <sz val="12"/>
        <color theme="1"/>
        <rFont val="Times New Roman"/>
        <family val="1"/>
        <charset val="204"/>
      </rPr>
      <t xml:space="preserve"> { [ 1 / (1 - 0,4 </t>
    </r>
    <r>
      <rPr>
        <sz val="12"/>
        <color theme="1"/>
        <rFont val="Symbol"/>
        <family val="1"/>
        <charset val="2"/>
      </rPr>
      <t>j</t>
    </r>
    <r>
      <rPr>
        <sz val="12"/>
        <color theme="1"/>
        <rFont val="Times New Roman"/>
        <family val="1"/>
        <charset val="204"/>
      </rPr>
      <t xml:space="preserve"> )] - 1 },</t>
    </r>
  </si>
  <si>
    <t>Потребное давление насоса, МПа</t>
  </si>
  <si>
    <t xml:space="preserve">Выбор насосной установки </t>
  </si>
  <si>
    <t>ускорение св падения</t>
  </si>
  <si>
    <r>
      <t xml:space="preserve">Р = </t>
    </r>
    <r>
      <rPr>
        <sz val="12"/>
        <color theme="1"/>
        <rFont val="Symbol"/>
        <family val="1"/>
        <charset val="2"/>
      </rPr>
      <t>r</t>
    </r>
    <r>
      <rPr>
        <sz val="12"/>
        <color theme="1"/>
        <rFont val="Times New Roman"/>
        <family val="1"/>
        <charset val="204"/>
      </rPr>
      <t xml:space="preserve"> g H</t>
    </r>
    <r>
      <rPr>
        <vertAlign val="subscript"/>
        <sz val="12"/>
        <color theme="1"/>
        <rFont val="Times New Roman"/>
        <family val="1"/>
        <charset val="204"/>
      </rPr>
      <t>дин</t>
    </r>
    <r>
      <rPr>
        <sz val="12"/>
        <color theme="1"/>
        <rFont val="Times New Roman"/>
        <family val="1"/>
        <charset val="204"/>
      </rPr>
      <t xml:space="preserve">  + Р</t>
    </r>
    <r>
      <rPr>
        <vertAlign val="subscript"/>
        <sz val="12"/>
        <color theme="1"/>
        <rFont val="Times New Roman"/>
        <family val="1"/>
        <charset val="204"/>
      </rPr>
      <t>буф</t>
    </r>
    <r>
      <rPr>
        <sz val="12"/>
        <color theme="1"/>
        <rFont val="Times New Roman"/>
        <family val="1"/>
        <charset val="204"/>
      </rPr>
      <t xml:space="preserve"> – P</t>
    </r>
    <r>
      <rPr>
        <vertAlign val="subscript"/>
        <sz val="12"/>
        <color theme="1"/>
        <rFont val="Times New Roman"/>
        <family val="1"/>
        <charset val="204"/>
      </rPr>
      <t>г1</t>
    </r>
    <r>
      <rPr>
        <sz val="12"/>
        <color theme="1"/>
        <rFont val="Times New Roman"/>
        <family val="1"/>
        <charset val="204"/>
      </rPr>
      <t>- P</t>
    </r>
    <r>
      <rPr>
        <vertAlign val="subscript"/>
        <sz val="12"/>
        <color theme="1"/>
        <rFont val="Times New Roman"/>
        <family val="1"/>
        <charset val="204"/>
      </rPr>
      <t>г2</t>
    </r>
  </si>
  <si>
    <t>Работа газа на участке "нагнетание насоса - устье ,Мпа</t>
  </si>
  <si>
    <r>
      <t>K</t>
    </r>
    <r>
      <rPr>
        <vertAlign val="subscript"/>
        <sz val="12"/>
        <color theme="1"/>
        <rFont val="Times New Roman"/>
        <family val="1"/>
        <charset val="204"/>
      </rPr>
      <t>Q</t>
    </r>
    <r>
      <rPr>
        <vertAlign val="subscript"/>
        <sz val="12"/>
        <color theme="1"/>
        <rFont val="Symbol"/>
        <family val="1"/>
        <charset val="2"/>
      </rPr>
      <t>n</t>
    </r>
    <r>
      <rPr>
        <sz val="12"/>
        <color theme="1"/>
        <rFont val="Times New Roman"/>
        <family val="1"/>
        <charset val="204"/>
      </rPr>
      <t xml:space="preserve">  = 1 –4,95  v </t>
    </r>
    <r>
      <rPr>
        <vertAlign val="superscript"/>
        <sz val="12"/>
        <color theme="1"/>
        <rFont val="Times New Roman"/>
        <family val="1"/>
        <charset val="204"/>
      </rPr>
      <t>0.85</t>
    </r>
    <r>
      <rPr>
        <sz val="12"/>
        <color theme="1"/>
        <rFont val="Times New Roman"/>
        <family val="1"/>
        <charset val="204"/>
      </rPr>
      <t xml:space="preserve">   * QоВ</t>
    </r>
    <r>
      <rPr>
        <vertAlign val="superscript"/>
        <sz val="12"/>
        <color theme="1"/>
        <rFont val="Times New Roman"/>
        <family val="1"/>
        <charset val="204"/>
      </rPr>
      <t xml:space="preserve"> -0.57</t>
    </r>
  </si>
  <si>
    <t>v</t>
  </si>
  <si>
    <t xml:space="preserve">Коэффициент изменения подачи насоса </t>
  </si>
  <si>
    <t>Коэффициент изменения КПД насоса из-за влияния вяз-ти</t>
  </si>
  <si>
    <t>Относительная подача жидкости на входе в насос</t>
  </si>
  <si>
    <t>Относительная подача на входе в насос</t>
  </si>
  <si>
    <t>Газосодержание на приеме насоса</t>
  </si>
  <si>
    <t>Коэффициент изменения напора насоса из-за  вязкости</t>
  </si>
  <si>
    <t>Напор насоса на воде при оптимальном режиме,м</t>
  </si>
  <si>
    <t>КПД насоса с учетом влияния вязкости,  газа и режима раб</t>
  </si>
  <si>
    <t>Мощность насоса кВт</t>
  </si>
  <si>
    <r>
      <t>А = 1 / [ 15.4 – 19.2 q</t>
    </r>
    <r>
      <rPr>
        <vertAlign val="subscript"/>
        <sz val="12"/>
        <color theme="1"/>
        <rFont val="Times New Roman"/>
        <family val="1"/>
        <charset val="204"/>
      </rPr>
      <t>пр</t>
    </r>
    <r>
      <rPr>
        <sz val="12"/>
        <color theme="1"/>
        <rFont val="Times New Roman"/>
        <family val="1"/>
        <charset val="204"/>
      </rPr>
      <t xml:space="preserve"> + ( 6.8 q</t>
    </r>
    <r>
      <rPr>
        <vertAlign val="subscript"/>
        <sz val="12"/>
        <color theme="1"/>
        <rFont val="Times New Roman"/>
        <family val="1"/>
        <charset val="204"/>
      </rPr>
      <t>пр</t>
    </r>
    <r>
      <rPr>
        <sz val="12"/>
        <color theme="1"/>
        <rFont val="Times New Roman"/>
        <family val="1"/>
        <charset val="204"/>
      </rPr>
      <t xml:space="preserve"> )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]</t>
    </r>
  </si>
  <si>
    <r>
      <t xml:space="preserve">К = [ ( 1 - </t>
    </r>
    <r>
      <rPr>
        <sz val="12"/>
        <color theme="1"/>
        <rFont val="Symbol"/>
        <family val="1"/>
        <charset val="2"/>
      </rPr>
      <t>b</t>
    </r>
    <r>
      <rPr>
        <sz val="12"/>
        <color theme="1"/>
        <rFont val="Times New Roman"/>
        <family val="1"/>
        <charset val="204"/>
      </rPr>
      <t>) / (0.85 –  0.31 q</t>
    </r>
    <r>
      <rPr>
        <vertAlign val="subscript"/>
        <sz val="12"/>
        <color theme="1"/>
        <rFont val="Times New Roman"/>
        <family val="1"/>
        <charset val="204"/>
      </rPr>
      <t>пр</t>
    </r>
    <r>
      <rPr>
        <sz val="12"/>
        <color theme="1"/>
        <rFont val="Times New Roman"/>
        <family val="1"/>
        <charset val="204"/>
      </rPr>
      <t xml:space="preserve"> )</t>
    </r>
    <r>
      <rPr>
        <vertAlign val="superscript"/>
        <sz val="12"/>
        <color theme="1"/>
        <rFont val="Times New Roman"/>
        <family val="1"/>
        <charset val="204"/>
      </rPr>
      <t>A</t>
    </r>
    <r>
      <rPr>
        <sz val="12"/>
        <color theme="1"/>
        <rFont val="Times New Roman"/>
        <family val="1"/>
        <charset val="204"/>
      </rPr>
      <t xml:space="preserve">  ]</t>
    </r>
  </si>
  <si>
    <t>Давление при откачки жидкости глушения при освоении ,Мпа</t>
  </si>
  <si>
    <t>Напор насоса при освоении скважины, м</t>
  </si>
  <si>
    <t>Мощность, потребляемая ПЭД при освоении скважины,кВт</t>
  </si>
  <si>
    <t>Проверяем уста-новку на температуру на приеме насоса</t>
  </si>
  <si>
    <t xml:space="preserve">Проверяем установку на теплоотвод </t>
  </si>
  <si>
    <t>ГДЕ А</t>
  </si>
  <si>
    <t>дебит скв на воде</t>
  </si>
  <si>
    <r>
      <t>K</t>
    </r>
    <r>
      <rPr>
        <vertAlign val="subscript"/>
        <sz val="12"/>
        <color theme="1"/>
        <rFont val="Symbol"/>
        <family val="1"/>
        <charset val="2"/>
      </rPr>
      <t>hn</t>
    </r>
    <r>
      <rPr>
        <sz val="12"/>
        <color theme="1"/>
        <rFont val="Times New Roman"/>
        <family val="1"/>
        <charset val="204"/>
      </rPr>
      <t xml:space="preserve">   = 1 – 1.95  v0.4 / QоВ 0.27</t>
    </r>
  </si>
  <si>
    <t>QоВ</t>
  </si>
  <si>
    <r>
      <t>К</t>
    </r>
    <r>
      <rPr>
        <vertAlign val="subscript"/>
        <sz val="12"/>
        <color theme="1"/>
        <rFont val="Times New Roman"/>
        <family val="1"/>
        <charset val="204"/>
      </rPr>
      <t>Н</t>
    </r>
    <r>
      <rPr>
        <vertAlign val="subscript"/>
        <sz val="12"/>
        <color theme="1"/>
        <rFont val="Symbol"/>
        <family val="1"/>
        <charset val="2"/>
      </rPr>
      <t>n</t>
    </r>
    <r>
      <rPr>
        <sz val="12"/>
        <color theme="1"/>
        <rFont val="Times New Roman"/>
        <family val="1"/>
        <charset val="204"/>
      </rPr>
      <t xml:space="preserve"> = 1 – (1.07*v </t>
    </r>
    <r>
      <rPr>
        <vertAlign val="superscript"/>
        <sz val="12"/>
        <color theme="1"/>
        <rFont val="Times New Roman"/>
        <family val="1"/>
        <charset val="204"/>
      </rPr>
      <t>0.6</t>
    </r>
    <r>
      <rPr>
        <sz val="12"/>
        <color theme="1"/>
        <rFont val="Times New Roman"/>
        <family val="1"/>
        <charset val="204"/>
      </rPr>
      <t xml:space="preserve"> q</t>
    </r>
    <r>
      <rPr>
        <vertAlign val="subscript"/>
        <sz val="12"/>
        <color theme="1"/>
        <rFont val="Times New Roman"/>
        <family val="1"/>
        <charset val="204"/>
      </rPr>
      <t>пр</t>
    </r>
    <r>
      <rPr>
        <sz val="12"/>
        <color theme="1"/>
        <rFont val="Times New Roman"/>
        <family val="1"/>
        <charset val="204"/>
      </rPr>
      <t xml:space="preserve"> / QоB </t>
    </r>
    <r>
      <rPr>
        <vertAlign val="superscript"/>
        <sz val="12"/>
        <color theme="1"/>
        <rFont val="Times New Roman"/>
        <family val="1"/>
        <charset val="204"/>
      </rPr>
      <t>0.57</t>
    </r>
    <r>
      <rPr>
        <sz val="12"/>
        <color theme="1"/>
        <rFont val="Times New Roman"/>
        <family val="1"/>
        <charset val="204"/>
      </rPr>
      <t xml:space="preserve"> )</t>
    </r>
  </si>
  <si>
    <t>Плотность смеси на участке «забой-прием насоса», кг/куб.м</t>
  </si>
  <si>
    <r>
      <t>Z = H / h</t>
    </r>
    <r>
      <rPr>
        <vertAlign val="subscript"/>
        <sz val="12"/>
        <color theme="1"/>
        <rFont val="Times New Roman"/>
        <family val="1"/>
        <charset val="204"/>
      </rPr>
      <t>ст</t>
    </r>
    <r>
      <rPr>
        <sz val="12"/>
        <color theme="1"/>
        <rFont val="Times New Roman"/>
        <family val="1"/>
        <charset val="204"/>
      </rPr>
      <t xml:space="preserve"> ,</t>
    </r>
  </si>
  <si>
    <t>Объемный коэффициент нефти,ед</t>
  </si>
  <si>
    <r>
      <t>h</t>
    </r>
    <r>
      <rPr>
        <vertAlign val="subscript"/>
        <sz val="12"/>
        <color theme="1"/>
        <rFont val="Times New Roman"/>
        <family val="1"/>
        <charset val="204"/>
      </rPr>
      <t>ст</t>
    </r>
  </si>
  <si>
    <t>напор одной ступени выбранного насоса</t>
  </si>
  <si>
    <r>
      <t xml:space="preserve"> </t>
    </r>
    <r>
      <rPr>
        <sz val="12"/>
        <color theme="1"/>
        <rFont val="Symbol"/>
        <family val="1"/>
        <charset val="2"/>
      </rPr>
      <t>r</t>
    </r>
    <r>
      <rPr>
        <vertAlign val="subscript"/>
        <sz val="12"/>
        <color theme="1"/>
        <rFont val="Times New Roman"/>
        <family val="1"/>
        <charset val="204"/>
      </rPr>
      <t>гл</t>
    </r>
    <r>
      <rPr>
        <sz val="12"/>
        <color theme="1"/>
        <rFont val="Times New Roman"/>
        <family val="1"/>
        <charset val="204"/>
      </rPr>
      <t xml:space="preserve"> </t>
    </r>
  </si>
  <si>
    <r>
      <t xml:space="preserve">  </t>
    </r>
    <r>
      <rPr>
        <sz val="12"/>
        <color theme="1"/>
        <rFont val="Symbol"/>
        <family val="1"/>
        <charset val="2"/>
      </rPr>
      <t>h</t>
    </r>
    <r>
      <rPr>
        <vertAlign val="subscript"/>
        <sz val="12"/>
        <color theme="1"/>
        <rFont val="Times New Roman"/>
        <family val="1"/>
        <charset val="204"/>
      </rPr>
      <t>ПЭД</t>
    </r>
  </si>
  <si>
    <r>
      <t>W = Q</t>
    </r>
    <r>
      <rPr>
        <vertAlign val="subscript"/>
        <sz val="12"/>
        <color theme="1"/>
        <rFont val="Times New Roman"/>
        <family val="1"/>
        <charset val="204"/>
      </rPr>
      <t>с</t>
    </r>
    <r>
      <rPr>
        <sz val="12"/>
        <color theme="1"/>
        <rFont val="Times New Roman"/>
        <family val="1"/>
        <charset val="204"/>
      </rPr>
      <t xml:space="preserve"> / 0,785 (D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–  d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)</t>
    </r>
  </si>
  <si>
    <r>
      <t>K</t>
    </r>
    <r>
      <rPr>
        <vertAlign val="subscript"/>
        <sz val="12"/>
        <color theme="1"/>
        <rFont val="Times New Roman"/>
        <family val="1"/>
        <charset val="204"/>
      </rPr>
      <t>c</t>
    </r>
    <r>
      <rPr>
        <sz val="12"/>
        <color theme="1"/>
        <rFont val="Times New Roman"/>
        <family val="1"/>
        <charset val="204"/>
      </rPr>
      <t xml:space="preserve">  = 1 / [1 + (6.02 Qпр.с  / fскв )]</t>
    </r>
  </si>
  <si>
    <t>Коэффициент кинематической вязкости нефти м2 /с</t>
  </si>
  <si>
    <t>Плотности воды кг/куб.м</t>
  </si>
  <si>
    <t>Плотность нефти кг/куб.м</t>
  </si>
  <si>
    <t>Плотность газа кг/куб.м</t>
  </si>
  <si>
    <t>Коэффициент кинематической вязкости воды м2 /с</t>
  </si>
  <si>
    <t>Планируемый дебит скважины куб.м/сутки</t>
  </si>
  <si>
    <t>Обводненность продукции пласта доли</t>
  </si>
  <si>
    <t>Газовый фактор куб.м/куб.м</t>
  </si>
  <si>
    <t>Глубина расположения пласта (отверстий перфорации)    м</t>
  </si>
  <si>
    <t>Пластовое давление    Мпа</t>
  </si>
  <si>
    <t>Давление насыщения Мпа</t>
  </si>
  <si>
    <t>Температурый градиент С</t>
  </si>
  <si>
    <t>Коэффициент продуктивности куб.м/МПа*сут</t>
  </si>
  <si>
    <t>Буферное давление Мпа</t>
  </si>
  <si>
    <t>Наружный диаметр обсадной колонны мм</t>
  </si>
  <si>
    <t>Толщина стенки обсадной колонны  мм</t>
  </si>
  <si>
    <t>плотность жидкости глушения кг/куб.м</t>
  </si>
  <si>
    <t>Коэффициент</t>
  </si>
  <si>
    <r>
      <t xml:space="preserve"> f </t>
    </r>
    <r>
      <rPr>
        <vertAlign val="subscript"/>
        <sz val="12"/>
        <color theme="1"/>
        <rFont val="Times New Roman"/>
        <family val="1"/>
        <charset val="204"/>
      </rPr>
      <t>cкв</t>
    </r>
  </si>
  <si>
    <r>
      <rPr>
        <sz val="12"/>
        <color theme="1"/>
        <rFont val="Times New Roman"/>
        <family val="1"/>
        <charset val="204"/>
      </rPr>
      <t xml:space="preserve"> К</t>
    </r>
    <r>
      <rPr>
        <vertAlign val="subscript"/>
        <sz val="12"/>
        <color theme="1"/>
        <rFont val="Symbol"/>
        <family val="1"/>
        <charset val="2"/>
      </rPr>
      <t>hn</t>
    </r>
    <r>
      <rPr>
        <sz val="12"/>
        <color theme="1"/>
        <rFont val="Times New Roman"/>
        <family val="1"/>
        <charset val="204"/>
      </rPr>
      <t xml:space="preserve"> </t>
    </r>
  </si>
  <si>
    <r>
      <rPr>
        <sz val="12"/>
        <color theme="1"/>
        <rFont val="Times New Roman"/>
        <family val="1"/>
        <charset val="204"/>
      </rPr>
      <t xml:space="preserve"> К</t>
    </r>
    <r>
      <rPr>
        <vertAlign val="subscript"/>
        <sz val="12"/>
        <color theme="1"/>
        <rFont val="Symbol"/>
        <family val="1"/>
        <charset val="2"/>
      </rPr>
      <t>h</t>
    </r>
    <r>
      <rPr>
        <vertAlign val="subscript"/>
        <sz val="12"/>
        <color theme="1"/>
        <rFont val="Times New Roman"/>
        <family val="1"/>
        <charset val="204"/>
      </rPr>
      <t>q</t>
    </r>
    <r>
      <rPr>
        <sz val="12"/>
        <color theme="1"/>
        <rFont val="Times New Roman"/>
        <family val="1"/>
        <charset val="204"/>
      </rPr>
      <t/>
    </r>
  </si>
  <si>
    <r>
      <t>r</t>
    </r>
    <r>
      <rPr>
        <vertAlign val="subscript"/>
        <sz val="12"/>
        <color theme="1"/>
        <rFont val="Times New Roman"/>
        <family val="1"/>
        <charset val="204"/>
      </rPr>
      <t>см</t>
    </r>
    <r>
      <rPr>
        <sz val="12"/>
        <color theme="1"/>
        <rFont val="Times New Roman"/>
        <family val="1"/>
        <charset val="204"/>
      </rPr>
      <t xml:space="preserve"> 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</si>
  <si>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заб</t>
    </r>
    <r>
      <rPr>
        <sz val="12"/>
        <color theme="1"/>
        <rFont val="Times New Roman"/>
        <family val="1"/>
        <charset val="204"/>
      </rPr>
      <t xml:space="preserve"> </t>
    </r>
  </si>
  <si>
    <r>
      <t>Н</t>
    </r>
    <r>
      <rPr>
        <vertAlign val="subscript"/>
        <sz val="12"/>
        <color theme="1"/>
        <rFont val="Times New Roman"/>
        <family val="1"/>
        <charset val="204"/>
      </rPr>
      <t>дин</t>
    </r>
    <r>
      <rPr>
        <sz val="12"/>
        <color theme="1"/>
        <rFont val="Times New Roman"/>
        <family val="1"/>
        <charset val="204"/>
      </rPr>
      <t/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</si>
  <si>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 xml:space="preserve"> пр</t>
    </r>
    <r>
      <rPr>
        <sz val="12"/>
        <color theme="1"/>
        <rFont val="Times New Roman"/>
        <family val="1"/>
        <charset val="204"/>
      </rPr>
      <t/>
    </r>
  </si>
  <si>
    <t xml:space="preserve">L </t>
  </si>
  <si>
    <t xml:space="preserve">T </t>
  </si>
  <si>
    <t>B</t>
  </si>
  <si>
    <r>
      <t>Q</t>
    </r>
    <r>
      <rPr>
        <vertAlign val="subscript"/>
        <sz val="12"/>
        <color theme="1"/>
        <rFont val="Times New Roman"/>
        <family val="1"/>
        <charset val="204"/>
      </rPr>
      <t>пр</t>
    </r>
    <r>
      <rPr>
        <sz val="12"/>
        <color theme="1"/>
        <rFont val="Times New Roman"/>
        <family val="1"/>
        <charset val="204"/>
      </rPr>
      <t xml:space="preserve">  </t>
    </r>
  </si>
  <si>
    <r>
      <t>G</t>
    </r>
    <r>
      <rPr>
        <vertAlign val="subscript"/>
        <sz val="12"/>
        <color theme="1"/>
        <rFont val="Times New Roman"/>
        <family val="1"/>
        <charset val="204"/>
      </rPr>
      <t>пр</t>
    </r>
    <r>
      <rPr>
        <sz val="12"/>
        <color theme="1"/>
        <rFont val="Times New Roman"/>
        <family val="1"/>
        <charset val="204"/>
      </rPr>
      <t xml:space="preserve"> </t>
    </r>
  </si>
  <si>
    <r>
      <t>b</t>
    </r>
    <r>
      <rPr>
        <vertAlign val="subscript"/>
        <sz val="12"/>
        <color theme="1"/>
        <rFont val="Times New Roman"/>
        <family val="1"/>
        <charset val="204"/>
      </rPr>
      <t>вх</t>
    </r>
    <r>
      <rPr>
        <sz val="12"/>
        <color theme="1"/>
        <rFont val="Times New Roman"/>
        <family val="1"/>
        <charset val="204"/>
      </rPr>
      <t xml:space="preserve"> </t>
    </r>
  </si>
  <si>
    <r>
      <t>Расход газа на входе в насос м</t>
    </r>
    <r>
      <rPr>
        <vertAlign val="superscript"/>
        <sz val="12"/>
        <color theme="1"/>
        <rFont val="Times New Roman"/>
        <family val="1"/>
        <charset val="204"/>
      </rPr>
      <t>3</t>
    </r>
  </si>
  <si>
    <r>
      <t>Q</t>
    </r>
    <r>
      <rPr>
        <vertAlign val="subscript"/>
        <sz val="12"/>
        <color theme="1"/>
        <rFont val="Times New Roman"/>
        <family val="1"/>
        <charset val="204"/>
      </rPr>
      <t>г.пр</t>
    </r>
    <r>
      <rPr>
        <sz val="12"/>
        <color theme="1"/>
        <rFont val="Times New Roman"/>
        <family val="1"/>
        <charset val="204"/>
      </rPr>
      <t xml:space="preserve"> </t>
    </r>
  </si>
  <si>
    <t>Приведенная скорость газа в сечении  см/с</t>
  </si>
  <si>
    <t xml:space="preserve">C </t>
  </si>
  <si>
    <r>
      <t>j</t>
    </r>
    <r>
      <rPr>
        <sz val="12"/>
        <color theme="1"/>
        <rFont val="Times New Roman"/>
        <family val="1"/>
        <charset val="204"/>
      </rPr>
      <t xml:space="preserve"> </t>
    </r>
  </si>
  <si>
    <r>
      <t>P</t>
    </r>
    <r>
      <rPr>
        <vertAlign val="subscript"/>
        <sz val="12"/>
        <color theme="1"/>
        <rFont val="Times New Roman"/>
        <family val="1"/>
        <charset val="204"/>
      </rPr>
      <t>г1</t>
    </r>
    <r>
      <rPr>
        <sz val="12"/>
        <color theme="1"/>
        <rFont val="Times New Roman"/>
        <family val="1"/>
        <charset val="204"/>
      </rPr>
      <t xml:space="preserve">  </t>
    </r>
  </si>
  <si>
    <r>
      <t>P</t>
    </r>
    <r>
      <rPr>
        <vertAlign val="subscript"/>
        <sz val="12"/>
        <color theme="1"/>
        <rFont val="Times New Roman"/>
        <family val="1"/>
        <charset val="204"/>
      </rPr>
      <t>г2</t>
    </r>
    <r>
      <rPr>
        <sz val="12"/>
        <color theme="1"/>
        <rFont val="Times New Roman"/>
        <family val="1"/>
        <charset val="204"/>
      </rPr>
      <t xml:space="preserve">  </t>
    </r>
  </si>
  <si>
    <t xml:space="preserve">Р </t>
  </si>
  <si>
    <r>
      <t>K</t>
    </r>
    <r>
      <rPr>
        <vertAlign val="subscript"/>
        <sz val="12"/>
        <color theme="1"/>
        <rFont val="Times New Roman"/>
        <family val="1"/>
        <charset val="204"/>
      </rPr>
      <t>Q</t>
    </r>
    <r>
      <rPr>
        <vertAlign val="subscript"/>
        <sz val="12"/>
        <color theme="1"/>
        <rFont val="Symbol"/>
        <family val="1"/>
        <charset val="2"/>
      </rPr>
      <t>n</t>
    </r>
    <r>
      <rPr>
        <sz val="12"/>
        <color theme="1"/>
        <rFont val="Times New Roman"/>
        <family val="1"/>
        <charset val="204"/>
      </rPr>
      <t xml:space="preserve">  </t>
    </r>
  </si>
  <si>
    <r>
      <t>K</t>
    </r>
    <r>
      <rPr>
        <vertAlign val="subscript"/>
        <sz val="12"/>
        <color theme="1"/>
        <rFont val="Symbol"/>
        <family val="1"/>
        <charset val="2"/>
      </rPr>
      <t>hn</t>
    </r>
    <r>
      <rPr>
        <sz val="12"/>
        <color theme="1"/>
        <rFont val="Times New Roman"/>
        <family val="1"/>
        <charset val="204"/>
      </rPr>
      <t xml:space="preserve">   </t>
    </r>
  </si>
  <si>
    <r>
      <t>K</t>
    </r>
    <r>
      <rPr>
        <vertAlign val="subscript"/>
        <sz val="12"/>
        <color theme="1"/>
        <rFont val="Times New Roman"/>
        <family val="1"/>
        <charset val="204"/>
      </rPr>
      <t>c</t>
    </r>
    <r>
      <rPr>
        <sz val="12"/>
        <color theme="1"/>
        <rFont val="Times New Roman"/>
        <family val="1"/>
        <charset val="204"/>
      </rPr>
      <t xml:space="preserve">  </t>
    </r>
  </si>
  <si>
    <t xml:space="preserve">q </t>
  </si>
  <si>
    <r>
      <t>q</t>
    </r>
    <r>
      <rPr>
        <vertAlign val="subscript"/>
        <sz val="12"/>
        <color theme="1"/>
        <rFont val="Times New Roman"/>
        <family val="1"/>
        <charset val="204"/>
      </rPr>
      <t>пр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</t>
    </r>
  </si>
  <si>
    <r>
      <t>b</t>
    </r>
    <r>
      <rPr>
        <vertAlign val="subscript"/>
        <sz val="12"/>
        <color theme="1"/>
        <rFont val="Times New Roman"/>
        <family val="1"/>
        <charset val="204"/>
      </rPr>
      <t xml:space="preserve">  пр</t>
    </r>
    <r>
      <rPr>
        <sz val="12"/>
        <color theme="1"/>
        <rFont val="Times New Roman"/>
        <family val="1"/>
        <charset val="204"/>
      </rPr>
      <t xml:space="preserve"> </t>
    </r>
  </si>
  <si>
    <r>
      <t>К</t>
    </r>
    <r>
      <rPr>
        <vertAlign val="subscript"/>
        <sz val="12"/>
        <color theme="1"/>
        <rFont val="Times New Roman"/>
        <family val="1"/>
        <charset val="204"/>
      </rPr>
      <t>Н</t>
    </r>
    <r>
      <rPr>
        <vertAlign val="subscript"/>
        <sz val="12"/>
        <color theme="1"/>
        <rFont val="Symbol"/>
        <family val="1"/>
        <charset val="2"/>
      </rPr>
      <t>n</t>
    </r>
    <r>
      <rPr>
        <sz val="12"/>
        <color theme="1"/>
        <rFont val="Times New Roman"/>
        <family val="1"/>
        <charset val="204"/>
      </rPr>
      <t xml:space="preserve"> </t>
    </r>
  </si>
  <si>
    <t xml:space="preserve">К </t>
  </si>
  <si>
    <t xml:space="preserve">А </t>
  </si>
  <si>
    <t xml:space="preserve">Н </t>
  </si>
  <si>
    <t xml:space="preserve">Z </t>
  </si>
  <si>
    <r>
      <t>h</t>
    </r>
    <r>
      <rPr>
        <sz val="12"/>
        <color theme="1"/>
        <rFont val="Times New Roman"/>
        <family val="1"/>
        <charset val="204"/>
      </rPr>
      <t/>
    </r>
  </si>
  <si>
    <t xml:space="preserve"> N </t>
  </si>
  <si>
    <r>
      <t>N</t>
    </r>
    <r>
      <rPr>
        <vertAlign val="subscript"/>
        <sz val="12"/>
        <color theme="1"/>
        <rFont val="Times New Roman"/>
        <family val="1"/>
        <charset val="204"/>
      </rPr>
      <t>ПЭД</t>
    </r>
    <r>
      <rPr>
        <sz val="12"/>
        <color theme="1"/>
        <rFont val="Times New Roman"/>
        <family val="1"/>
        <charset val="204"/>
      </rPr>
      <t xml:space="preserve"> </t>
    </r>
  </si>
  <si>
    <r>
      <t>Р</t>
    </r>
    <r>
      <rPr>
        <vertAlign val="subscript"/>
        <sz val="12"/>
        <color theme="1"/>
        <rFont val="Times New Roman"/>
        <family val="1"/>
        <charset val="204"/>
      </rPr>
      <t>гл</t>
    </r>
    <r>
      <rPr>
        <sz val="12"/>
        <color theme="1"/>
        <rFont val="Times New Roman"/>
        <family val="1"/>
        <charset val="204"/>
      </rPr>
      <t xml:space="preserve"> </t>
    </r>
  </si>
  <si>
    <r>
      <t>Н</t>
    </r>
    <r>
      <rPr>
        <vertAlign val="subscript"/>
        <sz val="12"/>
        <color theme="1"/>
        <rFont val="Times New Roman"/>
        <family val="1"/>
        <charset val="204"/>
      </rPr>
      <t>гл</t>
    </r>
    <r>
      <rPr>
        <sz val="12"/>
        <color theme="1"/>
        <rFont val="Times New Roman"/>
        <family val="1"/>
        <charset val="204"/>
      </rPr>
      <t xml:space="preserve"> </t>
    </r>
  </si>
  <si>
    <r>
      <t xml:space="preserve">N </t>
    </r>
    <r>
      <rPr>
        <vertAlign val="subscript"/>
        <sz val="12"/>
        <color theme="1"/>
        <rFont val="Times New Roman"/>
        <family val="1"/>
        <charset val="204"/>
      </rPr>
      <t>гл</t>
    </r>
    <r>
      <rPr>
        <sz val="12"/>
        <color theme="1"/>
        <rFont val="Times New Roman"/>
        <family val="1"/>
        <charset val="204"/>
      </rPr>
      <t xml:space="preserve"> </t>
    </r>
  </si>
  <si>
    <r>
      <t xml:space="preserve">N </t>
    </r>
    <r>
      <rPr>
        <vertAlign val="subscript"/>
        <sz val="12"/>
        <color theme="1"/>
        <rFont val="Times New Roman"/>
        <family val="1"/>
        <charset val="204"/>
      </rPr>
      <t>ПЭД. гл</t>
    </r>
    <r>
      <rPr>
        <sz val="12"/>
        <color theme="1"/>
        <rFont val="Times New Roman"/>
        <family val="1"/>
        <charset val="204"/>
      </rPr>
      <t xml:space="preserve"> </t>
    </r>
  </si>
  <si>
    <t>W</t>
  </si>
  <si>
    <t>Результаты расчета</t>
  </si>
  <si>
    <t>Подбор ЭЦН</t>
  </si>
  <si>
    <t>Исходные данные</t>
  </si>
  <si>
    <r>
      <t>Площадь сечения м</t>
    </r>
    <r>
      <rPr>
        <vertAlign val="superscript"/>
        <sz val="12"/>
        <color theme="1"/>
        <rFont val="Times New Roman"/>
        <family val="1"/>
        <charset val="204"/>
      </rPr>
      <t xml:space="preserve">2  </t>
    </r>
    <r>
      <rPr>
        <sz val="12"/>
        <color rgb="FFFF0000"/>
        <rFont val="Times New Roman"/>
        <family val="1"/>
        <charset val="204"/>
      </rPr>
      <t>0,785*(0,128^2 – 0,096^2 )</t>
    </r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</si>
</sst>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0.0000"/>
    <numFmt numFmtId="167" formatCode="#,##0.000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2"/>
      <color theme="1"/>
      <name val="Symbol"/>
      <family val="1"/>
      <charset val="2"/>
    </font>
    <font>
      <vertAlign val="subscript"/>
      <sz val="12"/>
      <color theme="1"/>
      <name val="Times New Roman"/>
      <family val="1"/>
      <charset val="204"/>
    </font>
    <font>
      <vertAlign val="subscript"/>
      <sz val="12"/>
      <color theme="1"/>
      <name val="Symbol"/>
      <family val="1"/>
      <charset val="2"/>
    </font>
    <font>
      <sz val="9"/>
      <color indexed="81"/>
      <name val="Tahoma"/>
      <family val="2"/>
      <charset val="204"/>
    </font>
    <font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color rgb="FFFF0000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Fill="1" applyBorder="1" applyAlignment="1">
      <alignment vertical="top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11" fillId="0" borderId="0" xfId="0" applyFont="1" applyFill="1" applyBorder="1" applyAlignment="1" applyProtection="1">
      <alignment vertical="top" wrapText="1"/>
      <protection locked="0"/>
    </xf>
    <xf numFmtId="165" fontId="9" fillId="0" borderId="1" xfId="0" applyNumberFormat="1" applyFont="1" applyFill="1" applyBorder="1" applyAlignment="1" applyProtection="1">
      <alignment vertical="top" wrapText="1"/>
      <protection hidden="1"/>
    </xf>
    <xf numFmtId="167" fontId="9" fillId="0" borderId="1" xfId="0" applyNumberFormat="1" applyFont="1" applyFill="1" applyBorder="1" applyAlignment="1" applyProtection="1">
      <alignment vertical="top" wrapText="1"/>
      <protection hidden="1"/>
    </xf>
    <xf numFmtId="165" fontId="7" fillId="0" borderId="1" xfId="0" applyNumberFormat="1" applyFont="1" applyFill="1" applyBorder="1" applyAlignment="1" applyProtection="1">
      <alignment horizontal="right" vertical="center"/>
      <protection hidden="1"/>
    </xf>
    <xf numFmtId="2" fontId="7" fillId="0" borderId="1" xfId="0" applyNumberFormat="1" applyFont="1" applyFill="1" applyBorder="1" applyAlignment="1" applyProtection="1">
      <alignment horizontal="right" vertical="center"/>
      <protection hidden="1"/>
    </xf>
    <xf numFmtId="164" fontId="7" fillId="0" borderId="1" xfId="0" applyNumberFormat="1" applyFont="1" applyFill="1" applyBorder="1" applyAlignment="1" applyProtection="1">
      <alignment horizontal="right" vertical="center"/>
      <protection hidden="1"/>
    </xf>
    <xf numFmtId="164" fontId="9" fillId="0" borderId="1" xfId="0" applyNumberFormat="1" applyFont="1" applyFill="1" applyBorder="1" applyAlignment="1" applyProtection="1">
      <alignment horizontal="right" vertical="top" wrapText="1"/>
      <protection hidden="1"/>
    </xf>
    <xf numFmtId="2" fontId="9" fillId="0" borderId="1" xfId="0" applyNumberFormat="1" applyFont="1" applyFill="1" applyBorder="1" applyAlignment="1" applyProtection="1">
      <alignment horizontal="right" vertical="top" wrapText="1"/>
      <protection hidden="1"/>
    </xf>
    <xf numFmtId="166" fontId="9" fillId="0" borderId="1" xfId="0" applyNumberFormat="1" applyFont="1" applyFill="1" applyBorder="1" applyAlignment="1" applyProtection="1">
      <alignment horizontal="right" vertical="top" wrapText="1"/>
      <protection hidden="1"/>
    </xf>
    <xf numFmtId="164" fontId="9" fillId="0" borderId="1" xfId="0" applyNumberFormat="1" applyFont="1" applyFill="1" applyBorder="1" applyAlignment="1" applyProtection="1">
      <alignment vertical="top" wrapText="1"/>
      <protection hidden="1"/>
    </xf>
    <xf numFmtId="2" fontId="9" fillId="0" borderId="1" xfId="0" applyNumberFormat="1" applyFont="1" applyFill="1" applyBorder="1" applyAlignment="1" applyProtection="1">
      <alignment vertical="top" wrapText="1"/>
      <protection hidden="1"/>
    </xf>
    <xf numFmtId="1" fontId="7" fillId="0" borderId="1" xfId="0" applyNumberFormat="1" applyFont="1" applyFill="1" applyBorder="1" applyAlignment="1" applyProtection="1">
      <alignment horizontal="right" vertical="center"/>
      <protection hidden="1"/>
    </xf>
    <xf numFmtId="1" fontId="9" fillId="0" borderId="1" xfId="0" applyNumberFormat="1" applyFont="1" applyFill="1" applyBorder="1" applyAlignment="1" applyProtection="1">
      <alignment vertical="top" wrapText="1"/>
      <protection hidden="1"/>
    </xf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165" fontId="1" fillId="0" borderId="1" xfId="0" applyNumberFormat="1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 indent="2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0" fillId="0" borderId="1" xfId="0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horizontal="right" vertical="top" wrapText="1"/>
      <protection locked="0"/>
    </xf>
    <xf numFmtId="0" fontId="0" fillId="0" borderId="1" xfId="0" applyFill="1" applyBorder="1" applyAlignment="1"/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0" fillId="0" borderId="1" xfId="0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0"/>
  <sheetViews>
    <sheetView showGridLines="0" tabSelected="1" topLeftCell="B1" zoomScale="75" zoomScaleNormal="75" workbookViewId="0">
      <selection activeCell="E17" sqref="E17"/>
    </sheetView>
  </sheetViews>
  <sheetFormatPr defaultRowHeight="15"/>
  <cols>
    <col min="1" max="1" width="1.28515625" style="2" customWidth="1"/>
    <col min="2" max="2" width="3.85546875" style="2" customWidth="1"/>
    <col min="3" max="3" width="75.140625" style="2" customWidth="1"/>
    <col min="4" max="4" width="9.7109375" style="2" customWidth="1"/>
    <col min="5" max="5" width="10.85546875" style="2" customWidth="1"/>
    <col min="6" max="6" width="1.42578125" style="2" customWidth="1"/>
    <col min="7" max="7" width="9.140625" style="2"/>
    <col min="8" max="8" width="73.140625" style="2" customWidth="1"/>
    <col min="9" max="9" width="9.140625" style="2"/>
    <col min="10" max="10" width="12.5703125" style="2" customWidth="1"/>
    <col min="11" max="16384" width="9.140625" style="2"/>
  </cols>
  <sheetData>
    <row r="1" spans="2:10" ht="20.25">
      <c r="C1" s="5" t="s">
        <v>160</v>
      </c>
    </row>
    <row r="3" spans="2:10" ht="20.25">
      <c r="C3" s="5" t="s">
        <v>159</v>
      </c>
      <c r="F3"/>
      <c r="H3" s="5" t="s">
        <v>161</v>
      </c>
    </row>
    <row r="4" spans="2:10" ht="47.25">
      <c r="B4" s="23" t="s">
        <v>3</v>
      </c>
      <c r="C4" s="23" t="s">
        <v>4</v>
      </c>
      <c r="D4" s="1"/>
      <c r="E4" s="23" t="s">
        <v>5</v>
      </c>
      <c r="F4"/>
      <c r="G4" s="23" t="s">
        <v>0</v>
      </c>
      <c r="H4" s="22" t="s">
        <v>1</v>
      </c>
      <c r="I4" s="3"/>
      <c r="J4" s="22" t="s">
        <v>36</v>
      </c>
    </row>
    <row r="5" spans="2:10" ht="18.75">
      <c r="B5" s="23">
        <v>1</v>
      </c>
      <c r="C5" s="23" t="s">
        <v>92</v>
      </c>
      <c r="D5" s="29" t="s">
        <v>122</v>
      </c>
      <c r="E5" s="8">
        <f>(J5*J11+J6*(1-J11))*(1-J23)+J7*J23</f>
        <v>823.8075</v>
      </c>
      <c r="F5"/>
      <c r="G5" s="23">
        <v>1</v>
      </c>
      <c r="H5" s="23" t="s">
        <v>102</v>
      </c>
      <c r="I5" s="18" t="s">
        <v>34</v>
      </c>
      <c r="J5" s="23">
        <v>1020</v>
      </c>
    </row>
    <row r="6" spans="2:10" ht="18.75">
      <c r="B6" s="31"/>
      <c r="C6" s="29" t="s">
        <v>42</v>
      </c>
      <c r="D6" s="29"/>
      <c r="E6" s="8"/>
      <c r="F6"/>
      <c r="G6" s="23">
        <v>2</v>
      </c>
      <c r="H6" s="23" t="s">
        <v>103</v>
      </c>
      <c r="I6" s="19" t="s">
        <v>37</v>
      </c>
      <c r="J6" s="23">
        <v>850</v>
      </c>
    </row>
    <row r="7" spans="2:10" ht="18.75">
      <c r="B7" s="23">
        <v>2</v>
      </c>
      <c r="C7" s="23" t="s">
        <v>30</v>
      </c>
      <c r="D7" s="23" t="s">
        <v>123</v>
      </c>
      <c r="E7" s="8">
        <f>J15-J10/J19</f>
        <v>17.399999999999999</v>
      </c>
      <c r="F7"/>
      <c r="G7" s="23">
        <v>3</v>
      </c>
      <c r="H7" s="23" t="s">
        <v>104</v>
      </c>
      <c r="I7" s="19" t="s">
        <v>38</v>
      </c>
      <c r="J7" s="23">
        <v>1.05</v>
      </c>
    </row>
    <row r="8" spans="2:10" ht="18.75">
      <c r="B8" s="31"/>
      <c r="C8" s="23" t="s">
        <v>31</v>
      </c>
      <c r="D8" s="31"/>
      <c r="E8" s="8"/>
      <c r="F8"/>
      <c r="G8" s="23">
        <v>4</v>
      </c>
      <c r="H8" s="23" t="s">
        <v>101</v>
      </c>
      <c r="I8" s="20" t="s">
        <v>70</v>
      </c>
      <c r="J8" s="23">
        <v>0.08</v>
      </c>
    </row>
    <row r="9" spans="2:10" ht="18.75">
      <c r="B9" s="23">
        <v>3</v>
      </c>
      <c r="C9" s="23" t="s">
        <v>6</v>
      </c>
      <c r="D9" s="25" t="s">
        <v>124</v>
      </c>
      <c r="E9" s="8">
        <f>J14-(10^6)*E7/(E5*J24)</f>
        <v>736.94809672114252</v>
      </c>
      <c r="F9"/>
      <c r="G9" s="23">
        <v>5</v>
      </c>
      <c r="H9" s="23" t="s">
        <v>105</v>
      </c>
      <c r="I9" s="1"/>
      <c r="J9" s="23">
        <v>1E-3</v>
      </c>
    </row>
    <row r="10" spans="2:10" ht="18.75">
      <c r="B10" s="31"/>
      <c r="C10" s="25" t="s">
        <v>47</v>
      </c>
      <c r="D10" s="25"/>
      <c r="E10" s="8"/>
      <c r="F10"/>
      <c r="G10" s="23">
        <v>6</v>
      </c>
      <c r="H10" s="23" t="s">
        <v>106</v>
      </c>
      <c r="I10" s="18" t="s">
        <v>40</v>
      </c>
      <c r="J10" s="24">
        <v>92</v>
      </c>
    </row>
    <row r="11" spans="2:10" ht="18.75">
      <c r="B11" s="23">
        <v>4</v>
      </c>
      <c r="C11" s="23" t="s">
        <v>33</v>
      </c>
      <c r="D11" s="23" t="s">
        <v>125</v>
      </c>
      <c r="E11" s="9">
        <f>(1-J23)*J16</f>
        <v>7.0550000000000006</v>
      </c>
      <c r="F11"/>
      <c r="G11" s="23">
        <v>7</v>
      </c>
      <c r="H11" s="23" t="s">
        <v>107</v>
      </c>
      <c r="I11" s="20" t="s">
        <v>35</v>
      </c>
      <c r="J11" s="23">
        <v>0.7</v>
      </c>
    </row>
    <row r="12" spans="2:10" ht="18.75">
      <c r="B12" s="31"/>
      <c r="C12" s="23" t="s">
        <v>7</v>
      </c>
      <c r="D12" s="31"/>
      <c r="E12" s="9"/>
      <c r="F12"/>
      <c r="G12" s="23">
        <v>8</v>
      </c>
      <c r="H12" s="23" t="s">
        <v>108</v>
      </c>
      <c r="I12" s="21" t="s">
        <v>57</v>
      </c>
      <c r="J12" s="24">
        <v>62</v>
      </c>
    </row>
    <row r="13" spans="2:10" ht="15.75">
      <c r="B13" s="23">
        <v>5</v>
      </c>
      <c r="C13" s="23" t="s">
        <v>32</v>
      </c>
      <c r="D13" s="23" t="s">
        <v>126</v>
      </c>
      <c r="E13" s="8">
        <f>E9+E11*(10^6)/(E5*J24)</f>
        <v>1609.9240264701277</v>
      </c>
      <c r="F13"/>
      <c r="G13" s="23">
        <v>9</v>
      </c>
      <c r="H13" s="23" t="s">
        <v>94</v>
      </c>
      <c r="I13" s="1"/>
      <c r="J13" s="23">
        <v>1.1499999999999999</v>
      </c>
    </row>
    <row r="14" spans="2:10" ht="18.75">
      <c r="B14" s="31"/>
      <c r="C14" s="23" t="s">
        <v>8</v>
      </c>
      <c r="D14" s="31"/>
      <c r="E14" s="8"/>
      <c r="F14"/>
      <c r="G14" s="23">
        <v>10</v>
      </c>
      <c r="H14" s="23" t="s">
        <v>109</v>
      </c>
      <c r="I14" s="25" t="s">
        <v>45</v>
      </c>
      <c r="J14" s="23">
        <v>2890</v>
      </c>
    </row>
    <row r="15" spans="2:10" ht="18.75">
      <c r="B15" s="23">
        <v>6</v>
      </c>
      <c r="C15" s="23" t="s">
        <v>49</v>
      </c>
      <c r="D15" s="30" t="s">
        <v>127</v>
      </c>
      <c r="E15" s="8">
        <f>J17-(J14-E13)*J18</f>
        <v>71.398480529402548</v>
      </c>
      <c r="F15"/>
      <c r="G15" s="23">
        <v>11</v>
      </c>
      <c r="H15" s="23" t="s">
        <v>110</v>
      </c>
      <c r="I15" s="26" t="s">
        <v>39</v>
      </c>
      <c r="J15" s="6">
        <f>J14/100</f>
        <v>28.9</v>
      </c>
    </row>
    <row r="16" spans="2:10" ht="18.75">
      <c r="B16" s="31"/>
      <c r="C16" s="30" t="s">
        <v>48</v>
      </c>
      <c r="D16" s="30"/>
      <c r="E16" s="8"/>
      <c r="F16"/>
      <c r="G16" s="23">
        <v>12</v>
      </c>
      <c r="H16" s="23" t="s">
        <v>111</v>
      </c>
      <c r="I16" s="1"/>
      <c r="J16" s="23">
        <v>8.3000000000000007</v>
      </c>
    </row>
    <row r="17" spans="2:10" ht="15.75">
      <c r="B17" s="23">
        <v>7</v>
      </c>
      <c r="C17" s="23" t="s">
        <v>50</v>
      </c>
      <c r="D17" s="25" t="s">
        <v>128</v>
      </c>
      <c r="E17" s="10">
        <f>J11+(1-J11)*(1+(J13-1)*(E11/J16)^0.5)</f>
        <v>1.041487950057818</v>
      </c>
      <c r="F17"/>
      <c r="G17" s="23">
        <v>13</v>
      </c>
      <c r="H17" s="23" t="s">
        <v>2</v>
      </c>
      <c r="I17" s="21" t="s">
        <v>56</v>
      </c>
      <c r="J17" s="24">
        <v>97</v>
      </c>
    </row>
    <row r="18" spans="2:10" ht="18.75">
      <c r="B18" s="31"/>
      <c r="C18" s="25" t="s">
        <v>58</v>
      </c>
      <c r="D18" s="25"/>
      <c r="E18" s="10"/>
      <c r="F18"/>
      <c r="G18" s="23">
        <v>14</v>
      </c>
      <c r="H18" s="23" t="s">
        <v>112</v>
      </c>
      <c r="I18" s="1"/>
      <c r="J18" s="23">
        <v>0.02</v>
      </c>
    </row>
    <row r="19" spans="2:10" ht="18.75">
      <c r="B19" s="23">
        <v>8</v>
      </c>
      <c r="C19" s="23" t="s">
        <v>51</v>
      </c>
      <c r="D19" s="23" t="s">
        <v>129</v>
      </c>
      <c r="E19" s="10">
        <f>J10*E17</f>
        <v>95.816891405319254</v>
      </c>
      <c r="F19"/>
      <c r="G19" s="23">
        <v>15</v>
      </c>
      <c r="H19" s="23" t="s">
        <v>113</v>
      </c>
      <c r="I19" s="25" t="s">
        <v>41</v>
      </c>
      <c r="J19" s="24">
        <v>8</v>
      </c>
    </row>
    <row r="20" spans="2:10" ht="18.75">
      <c r="B20" s="31"/>
      <c r="C20" s="23" t="s">
        <v>59</v>
      </c>
      <c r="D20" s="31"/>
      <c r="E20" s="10"/>
      <c r="F20"/>
      <c r="G20" s="23">
        <v>16</v>
      </c>
      <c r="H20" s="23" t="s">
        <v>114</v>
      </c>
      <c r="I20" s="1"/>
      <c r="J20" s="23">
        <v>1.4</v>
      </c>
    </row>
    <row r="21" spans="2:10" ht="18.75">
      <c r="B21" s="23">
        <v>9</v>
      </c>
      <c r="C21" s="23" t="s">
        <v>55</v>
      </c>
      <c r="D21" s="23" t="s">
        <v>130</v>
      </c>
      <c r="E21" s="8">
        <f>J12*(1-J11)*(1-(E11/J16))</f>
        <v>2.7900000000000005</v>
      </c>
      <c r="F21"/>
      <c r="G21" s="23">
        <v>17</v>
      </c>
      <c r="H21" s="23" t="s">
        <v>115</v>
      </c>
      <c r="I21" s="1"/>
      <c r="J21" s="23">
        <v>146</v>
      </c>
    </row>
    <row r="22" spans="2:10" ht="18.75">
      <c r="B22" s="31"/>
      <c r="C22" s="23" t="s">
        <v>52</v>
      </c>
      <c r="D22" s="31"/>
      <c r="E22" s="8"/>
      <c r="F22"/>
      <c r="G22" s="23">
        <v>18</v>
      </c>
      <c r="H22" s="23" t="s">
        <v>116</v>
      </c>
      <c r="I22" s="1"/>
      <c r="J22" s="24">
        <v>9</v>
      </c>
    </row>
    <row r="23" spans="2:10" ht="18.75">
      <c r="B23" s="23">
        <v>10</v>
      </c>
      <c r="C23" s="23" t="s">
        <v>53</v>
      </c>
      <c r="D23" s="28" t="s">
        <v>131</v>
      </c>
      <c r="E23" s="11">
        <f>1/(((1+70.5)*E17/9.26+1))</f>
        <v>0.11059834508253827</v>
      </c>
      <c r="F23"/>
      <c r="G23" s="23">
        <v>19</v>
      </c>
      <c r="H23" s="23" t="s">
        <v>44</v>
      </c>
      <c r="I23" s="27" t="s">
        <v>43</v>
      </c>
      <c r="J23" s="23">
        <v>0.15</v>
      </c>
    </row>
    <row r="24" spans="2:10" ht="18.75">
      <c r="B24" s="31"/>
      <c r="C24" s="28" t="s">
        <v>54</v>
      </c>
      <c r="D24" s="28"/>
      <c r="E24" s="11"/>
      <c r="F24"/>
      <c r="G24" s="31">
        <v>20</v>
      </c>
      <c r="H24" s="23" t="s">
        <v>66</v>
      </c>
      <c r="I24" s="21" t="s">
        <v>46</v>
      </c>
      <c r="J24" s="23">
        <v>9.81</v>
      </c>
    </row>
    <row r="25" spans="2:10" ht="18.75">
      <c r="B25" s="23">
        <v>11</v>
      </c>
      <c r="C25" s="23" t="s">
        <v>132</v>
      </c>
      <c r="D25" s="25" t="s">
        <v>133</v>
      </c>
      <c r="E25" s="12">
        <f>(1-J11)*E19*E23/(1-E23)</f>
        <v>3.5744895104895109</v>
      </c>
      <c r="F25"/>
      <c r="G25" s="31">
        <v>21</v>
      </c>
      <c r="H25" s="23" t="s">
        <v>96</v>
      </c>
      <c r="I25" s="23" t="s">
        <v>95</v>
      </c>
      <c r="J25" s="23">
        <v>4.3</v>
      </c>
    </row>
    <row r="26" spans="2:10" ht="18.75">
      <c r="B26" s="31"/>
      <c r="C26" s="25" t="s">
        <v>61</v>
      </c>
      <c r="D26" s="25"/>
      <c r="E26" s="12"/>
      <c r="F26"/>
      <c r="G26" s="31">
        <v>22</v>
      </c>
      <c r="H26" s="23" t="s">
        <v>88</v>
      </c>
      <c r="I26" s="21" t="s">
        <v>90</v>
      </c>
      <c r="J26" s="24">
        <v>86</v>
      </c>
    </row>
    <row r="27" spans="2:10" ht="18.75">
      <c r="B27" s="23">
        <v>12</v>
      </c>
      <c r="C27" s="23" t="s">
        <v>134</v>
      </c>
      <c r="D27" s="23" t="s">
        <v>135</v>
      </c>
      <c r="E27" s="12">
        <f>E25*10^6/(J29*86400*10^4)</f>
        <v>0.73524593329529653</v>
      </c>
      <c r="F27"/>
      <c r="G27" s="31">
        <v>23</v>
      </c>
      <c r="H27" s="23" t="s">
        <v>117</v>
      </c>
      <c r="I27" s="23" t="s">
        <v>97</v>
      </c>
      <c r="J27" s="23">
        <v>1200</v>
      </c>
    </row>
    <row r="28" spans="2:10" ht="18.75">
      <c r="B28" s="31"/>
      <c r="C28" s="23" t="s">
        <v>9</v>
      </c>
      <c r="D28" s="31"/>
      <c r="E28" s="12"/>
      <c r="F28"/>
      <c r="G28" s="31">
        <v>24</v>
      </c>
      <c r="H28" s="23" t="s">
        <v>118</v>
      </c>
      <c r="I28" s="23" t="s">
        <v>98</v>
      </c>
      <c r="J28" s="23">
        <v>0.85</v>
      </c>
    </row>
    <row r="29" spans="2:10" ht="18.75">
      <c r="B29" s="23">
        <v>13</v>
      </c>
      <c r="C29" s="23" t="s">
        <v>10</v>
      </c>
      <c r="D29" s="29" t="s">
        <v>136</v>
      </c>
      <c r="E29" s="11">
        <f>E23/(1+E23*(0.16/E27))</f>
        <v>0.10799904806996059</v>
      </c>
      <c r="F29"/>
      <c r="G29" s="31">
        <v>25</v>
      </c>
      <c r="H29" s="35" t="s">
        <v>162</v>
      </c>
      <c r="I29" s="23" t="s">
        <v>119</v>
      </c>
      <c r="J29" s="7">
        <f>0.785*(0.128^2-0.096^2)</f>
        <v>5.626879999999999E-3</v>
      </c>
    </row>
    <row r="30" spans="2:10" ht="18.75">
      <c r="B30" s="31"/>
      <c r="C30" s="29" t="s">
        <v>60</v>
      </c>
      <c r="D30" s="29"/>
      <c r="E30" s="11"/>
      <c r="F30"/>
      <c r="G30" s="31">
        <v>26</v>
      </c>
      <c r="H30" s="23" t="s">
        <v>118</v>
      </c>
      <c r="I30" s="28" t="s">
        <v>120</v>
      </c>
      <c r="J30" s="23">
        <v>0.92</v>
      </c>
    </row>
    <row r="31" spans="2:10" ht="18.75">
      <c r="B31" s="23">
        <v>14</v>
      </c>
      <c r="C31" s="23" t="s">
        <v>11</v>
      </c>
      <c r="D31" s="25" t="s">
        <v>137</v>
      </c>
      <c r="E31" s="11">
        <f>J16*((1/(1-0.4*E29))-1)</f>
        <v>0.3747457116425475</v>
      </c>
      <c r="F31"/>
      <c r="G31" s="31">
        <v>27</v>
      </c>
      <c r="H31" s="23" t="s">
        <v>118</v>
      </c>
      <c r="I31" s="28" t="s">
        <v>121</v>
      </c>
      <c r="J31" s="23">
        <v>0.52</v>
      </c>
    </row>
    <row r="32" spans="2:10" ht="18.75">
      <c r="B32" s="31"/>
      <c r="C32" s="25" t="s">
        <v>62</v>
      </c>
      <c r="D32" s="25"/>
      <c r="E32" s="11"/>
      <c r="F32"/>
    </row>
    <row r="33" spans="2:6" ht="18.75">
      <c r="B33" s="23">
        <v>15</v>
      </c>
      <c r="C33" s="23" t="s">
        <v>68</v>
      </c>
      <c r="D33" s="25" t="s">
        <v>138</v>
      </c>
      <c r="E33" s="12">
        <f>J16*((1/(1-0.4*0.118))-1)</f>
        <v>0.41116708648194855</v>
      </c>
      <c r="F33"/>
    </row>
    <row r="34" spans="2:6" ht="18.75">
      <c r="B34" s="31"/>
      <c r="C34" s="25" t="s">
        <v>63</v>
      </c>
      <c r="D34" s="25"/>
      <c r="E34" s="12"/>
      <c r="F34"/>
    </row>
    <row r="35" spans="2:6" ht="15.75">
      <c r="B35" s="23">
        <v>16</v>
      </c>
      <c r="C35" s="23" t="s">
        <v>64</v>
      </c>
      <c r="D35" s="23" t="s">
        <v>139</v>
      </c>
      <c r="E35" s="12">
        <f>826.4*9.81*545.5*10^-6+1.4-0.373-0.41</f>
        <v>5.0393597720000001</v>
      </c>
      <c r="F35"/>
    </row>
    <row r="36" spans="2:6" ht="18.75">
      <c r="B36" s="31"/>
      <c r="C36" s="23" t="s">
        <v>67</v>
      </c>
      <c r="D36" s="31"/>
      <c r="E36" s="12"/>
      <c r="F36"/>
    </row>
    <row r="37" spans="2:6" ht="15.75">
      <c r="B37" s="23">
        <v>17</v>
      </c>
      <c r="C37" s="23" t="s">
        <v>65</v>
      </c>
      <c r="D37" s="1"/>
      <c r="E37" s="1"/>
      <c r="F37"/>
    </row>
    <row r="38" spans="2:6" ht="15.75">
      <c r="B38" s="31"/>
      <c r="C38" s="31"/>
      <c r="D38" s="1"/>
      <c r="E38" s="1"/>
      <c r="F38"/>
    </row>
    <row r="39" spans="2:6" ht="18.75">
      <c r="B39" s="23">
        <v>18</v>
      </c>
      <c r="C39" s="23" t="s">
        <v>71</v>
      </c>
      <c r="D39" s="23" t="s">
        <v>140</v>
      </c>
      <c r="E39" s="11">
        <f>1-4.95*J8^0.85*J26^-0.57</f>
        <v>0.95433667090235019</v>
      </c>
      <c r="F39"/>
    </row>
    <row r="40" spans="2:6" ht="20.25">
      <c r="B40" s="31"/>
      <c r="C40" s="23" t="s">
        <v>69</v>
      </c>
      <c r="D40" s="31"/>
      <c r="E40" s="11"/>
      <c r="F40"/>
    </row>
    <row r="41" spans="2:6" ht="17.25">
      <c r="B41" s="23">
        <v>19</v>
      </c>
      <c r="C41" s="23" t="s">
        <v>72</v>
      </c>
      <c r="D41" s="23" t="s">
        <v>141</v>
      </c>
      <c r="E41" s="11">
        <f>1-1.95*J8^0.4*J26^-0.27</f>
        <v>0.78671710632196157</v>
      </c>
      <c r="F41"/>
    </row>
    <row r="42" spans="2:6" ht="17.25">
      <c r="B42" s="31"/>
      <c r="C42" s="23" t="s">
        <v>89</v>
      </c>
      <c r="D42" s="31"/>
      <c r="E42" s="11"/>
      <c r="F42"/>
    </row>
    <row r="43" spans="2:6" ht="18.75">
      <c r="B43" s="23">
        <v>20</v>
      </c>
      <c r="C43" s="23" t="s">
        <v>12</v>
      </c>
      <c r="D43" s="23" t="s">
        <v>142</v>
      </c>
      <c r="E43" s="13">
        <f>1/(1+(6.02*E19/(86400*J29)))</f>
        <v>0.45735797278672796</v>
      </c>
      <c r="F43"/>
    </row>
    <row r="44" spans="2:6" ht="18.75">
      <c r="B44" s="31"/>
      <c r="C44" s="23" t="s">
        <v>100</v>
      </c>
      <c r="D44" s="31"/>
      <c r="E44" s="13"/>
      <c r="F44"/>
    </row>
    <row r="45" spans="2:6" ht="15.75">
      <c r="B45" s="23">
        <v>21</v>
      </c>
      <c r="C45" s="23" t="s">
        <v>73</v>
      </c>
      <c r="D45" s="30" t="s">
        <v>143</v>
      </c>
      <c r="E45" s="14">
        <f>E19/J26</f>
        <v>1.1141499000618518</v>
      </c>
      <c r="F45"/>
    </row>
    <row r="46" spans="2:6" ht="18.75">
      <c r="B46" s="31"/>
      <c r="C46" s="30" t="s">
        <v>13</v>
      </c>
      <c r="D46" s="30"/>
      <c r="E46" s="14"/>
      <c r="F46"/>
    </row>
    <row r="47" spans="2:6" ht="18.75">
      <c r="B47" s="23">
        <v>22</v>
      </c>
      <c r="C47" s="23" t="s">
        <v>74</v>
      </c>
      <c r="D47" s="23" t="s">
        <v>144</v>
      </c>
      <c r="E47" s="13">
        <f>E19/(J26*E39)</f>
        <v>1.1674600107406479</v>
      </c>
      <c r="F47"/>
    </row>
    <row r="48" spans="2:6" ht="18.75">
      <c r="B48" s="31"/>
      <c r="C48" s="23" t="s">
        <v>14</v>
      </c>
      <c r="D48" s="31"/>
      <c r="E48" s="13"/>
      <c r="F48"/>
    </row>
    <row r="49" spans="2:6" ht="18.75">
      <c r="B49" s="23">
        <v>23</v>
      </c>
      <c r="C49" s="23" t="s">
        <v>75</v>
      </c>
      <c r="D49" s="28" t="s">
        <v>145</v>
      </c>
      <c r="E49" s="15">
        <f>E23*(1-E43)</f>
        <v>6.0015310182021581E-2</v>
      </c>
      <c r="F49"/>
    </row>
    <row r="50" spans="2:6" ht="18.75">
      <c r="B50" s="31"/>
      <c r="C50" s="28" t="s">
        <v>15</v>
      </c>
      <c r="D50" s="28"/>
      <c r="E50" s="15"/>
      <c r="F50"/>
    </row>
    <row r="51" spans="2:6" ht="18.75">
      <c r="B51" s="23">
        <v>24</v>
      </c>
      <c r="C51" s="23" t="s">
        <v>76</v>
      </c>
      <c r="D51" s="23" t="s">
        <v>146</v>
      </c>
      <c r="E51" s="14">
        <f>1-1.07*J8^0.6/J26^0.57</f>
        <v>0.98144018458480697</v>
      </c>
      <c r="F51"/>
    </row>
    <row r="52" spans="2:6" ht="20.25">
      <c r="B52" s="31"/>
      <c r="C52" s="23" t="s">
        <v>91</v>
      </c>
      <c r="D52" s="31"/>
      <c r="E52" s="14"/>
      <c r="F52"/>
    </row>
    <row r="53" spans="2:6" ht="15.75">
      <c r="B53" s="36">
        <v>25</v>
      </c>
      <c r="C53" s="23" t="s">
        <v>16</v>
      </c>
      <c r="D53" s="23" t="s">
        <v>147</v>
      </c>
      <c r="E53" s="13">
        <f>((1-E49)/(0.85-0.31*E47)^E55)</f>
        <v>0.95209988223252784</v>
      </c>
      <c r="F53"/>
    </row>
    <row r="54" spans="2:6" ht="20.25">
      <c r="B54" s="36"/>
      <c r="C54" s="23" t="s">
        <v>81</v>
      </c>
      <c r="D54" s="31"/>
      <c r="E54" s="13"/>
      <c r="F54"/>
    </row>
    <row r="55" spans="2:6" ht="15.75">
      <c r="B55" s="37"/>
      <c r="C55" s="23" t="s">
        <v>87</v>
      </c>
      <c r="D55" s="23" t="s">
        <v>148</v>
      </c>
      <c r="E55" s="14">
        <f>1/(15.4-19.2*E47+(6.8*E47)^2)</f>
        <v>1.7854537621405708E-2</v>
      </c>
      <c r="F55"/>
    </row>
    <row r="56" spans="2:6" ht="20.25">
      <c r="B56" s="32"/>
      <c r="C56" s="23" t="s">
        <v>80</v>
      </c>
      <c r="D56" s="31"/>
      <c r="E56" s="14"/>
      <c r="F56"/>
    </row>
    <row r="57" spans="2:6" ht="15.75">
      <c r="B57" s="23">
        <v>26</v>
      </c>
      <c r="C57" s="23" t="s">
        <v>77</v>
      </c>
      <c r="D57" s="23" t="s">
        <v>149</v>
      </c>
      <c r="E57" s="8">
        <f>E35*(10^6)/(E5*J24*E53*E51)</f>
        <v>667.32019572524985</v>
      </c>
      <c r="F57"/>
    </row>
    <row r="58" spans="2:6" ht="18.75">
      <c r="B58" s="31"/>
      <c r="C58" s="23" t="s">
        <v>17</v>
      </c>
      <c r="D58" s="31"/>
      <c r="E58" s="8"/>
      <c r="F58"/>
    </row>
    <row r="59" spans="2:6" ht="15.75">
      <c r="B59" s="23">
        <v>27</v>
      </c>
      <c r="C59" s="23" t="s">
        <v>18</v>
      </c>
      <c r="D59" s="23" t="s">
        <v>150</v>
      </c>
      <c r="E59" s="16">
        <f>ROUND(E57/J25,0)</f>
        <v>155</v>
      </c>
      <c r="F59"/>
    </row>
    <row r="60" spans="2:6" ht="18.75">
      <c r="B60" s="31"/>
      <c r="C60" s="23" t="s">
        <v>93</v>
      </c>
      <c r="D60" s="31"/>
      <c r="E60" s="16"/>
      <c r="F60"/>
    </row>
    <row r="61" spans="2:6" ht="15.75">
      <c r="B61" s="23">
        <v>28</v>
      </c>
      <c r="C61" s="23" t="s">
        <v>19</v>
      </c>
      <c r="D61" s="1"/>
      <c r="E61" s="33">
        <v>196</v>
      </c>
      <c r="F61"/>
    </row>
    <row r="62" spans="2:6" ht="15.75">
      <c r="B62" s="31"/>
      <c r="C62" s="31"/>
      <c r="D62" s="1"/>
      <c r="E62" s="33"/>
      <c r="F62"/>
    </row>
    <row r="63" spans="2:6" ht="15.75">
      <c r="B63" s="23">
        <v>29</v>
      </c>
      <c r="C63" s="23" t="s">
        <v>78</v>
      </c>
      <c r="D63" s="28" t="s">
        <v>151</v>
      </c>
      <c r="E63" s="12">
        <f>0.8*E41*J30*J31</f>
        <v>0.30109237093154118</v>
      </c>
      <c r="F63"/>
    </row>
    <row r="64" spans="2:6" ht="18.75">
      <c r="B64" s="31"/>
      <c r="C64" s="28" t="s">
        <v>20</v>
      </c>
      <c r="D64" s="28"/>
      <c r="E64" s="12"/>
      <c r="F64"/>
    </row>
    <row r="65" spans="2:6" ht="15.75">
      <c r="B65" s="23">
        <v>30</v>
      </c>
      <c r="C65" s="23" t="s">
        <v>79</v>
      </c>
      <c r="D65" s="23" t="s">
        <v>152</v>
      </c>
      <c r="E65" s="12">
        <f>6.13*10^3*E19/(86400*0.31)</f>
        <v>21.929418470527445</v>
      </c>
      <c r="F65"/>
    </row>
    <row r="66" spans="2:6" ht="18.75">
      <c r="B66" s="31"/>
      <c r="C66" s="23" t="s">
        <v>21</v>
      </c>
      <c r="D66" s="31"/>
      <c r="E66" s="12"/>
      <c r="F66"/>
    </row>
    <row r="67" spans="2:6" ht="18.75">
      <c r="B67" s="23">
        <v>31</v>
      </c>
      <c r="C67" s="23" t="s">
        <v>22</v>
      </c>
      <c r="D67" s="23" t="s">
        <v>153</v>
      </c>
      <c r="E67" s="12">
        <f>E65/J28</f>
        <v>25.799315847679349</v>
      </c>
      <c r="F67"/>
    </row>
    <row r="68" spans="2:6" ht="18.75">
      <c r="B68" s="31"/>
      <c r="C68" s="23" t="s">
        <v>23</v>
      </c>
      <c r="D68" s="31"/>
      <c r="E68" s="12"/>
      <c r="F68"/>
    </row>
    <row r="69" spans="2:6" ht="18.75">
      <c r="B69" s="23">
        <v>32</v>
      </c>
      <c r="C69" s="23" t="s">
        <v>82</v>
      </c>
      <c r="D69" s="23" t="s">
        <v>154</v>
      </c>
      <c r="E69" s="15">
        <f>J27*J24*E9*10^-6+J20</f>
        <v>10.075352994601289</v>
      </c>
      <c r="F69"/>
    </row>
    <row r="70" spans="2:6" ht="18.75">
      <c r="B70" s="31"/>
      <c r="C70" s="23" t="s">
        <v>24</v>
      </c>
      <c r="D70" s="31"/>
      <c r="E70" s="15"/>
      <c r="F70"/>
    </row>
    <row r="71" spans="2:6" ht="18.75">
      <c r="B71" s="23">
        <v>33</v>
      </c>
      <c r="C71" s="23" t="s">
        <v>83</v>
      </c>
      <c r="D71" s="23" t="s">
        <v>155</v>
      </c>
      <c r="E71" s="17">
        <f>E69*(10^6)/(J27*J24)</f>
        <v>855.874362436399</v>
      </c>
      <c r="F71"/>
    </row>
    <row r="72" spans="2:6" ht="18.75">
      <c r="B72" s="31"/>
      <c r="C72" s="23" t="s">
        <v>25</v>
      </c>
      <c r="D72" s="31"/>
      <c r="E72" s="17"/>
      <c r="F72"/>
    </row>
    <row r="73" spans="2:6" ht="18.75">
      <c r="B73" s="23">
        <v>34</v>
      </c>
      <c r="C73" s="23" t="s">
        <v>26</v>
      </c>
      <c r="D73" s="23" t="s">
        <v>156</v>
      </c>
      <c r="E73" s="6">
        <f>E69*(10^3)*E19/(86400*E63)</f>
        <v>37.109820501846976</v>
      </c>
      <c r="F73"/>
    </row>
    <row r="74" spans="2:6" ht="18.75">
      <c r="B74" s="31"/>
      <c r="C74" s="23" t="s">
        <v>27</v>
      </c>
      <c r="D74" s="31"/>
      <c r="E74" s="6"/>
      <c r="F74"/>
    </row>
    <row r="75" spans="2:6" ht="18.75">
      <c r="B75" s="23">
        <v>35</v>
      </c>
      <c r="C75" s="23" t="s">
        <v>84</v>
      </c>
      <c r="D75" s="23" t="s">
        <v>157</v>
      </c>
      <c r="E75" s="6">
        <f>E73/J28</f>
        <v>43.658612355114087</v>
      </c>
      <c r="F75"/>
    </row>
    <row r="76" spans="2:6" ht="18.75">
      <c r="B76" s="31"/>
      <c r="C76" s="31" t="s">
        <v>28</v>
      </c>
      <c r="D76" s="31"/>
      <c r="E76" s="6"/>
      <c r="F76"/>
    </row>
    <row r="77" spans="2:6" ht="15.75">
      <c r="B77" s="31">
        <v>36</v>
      </c>
      <c r="C77" s="31" t="s">
        <v>85</v>
      </c>
      <c r="D77" s="1"/>
      <c r="E77" s="6">
        <f>E15</f>
        <v>71.398480529402548</v>
      </c>
      <c r="F77"/>
    </row>
    <row r="78" spans="2:6" ht="15.75">
      <c r="B78" s="31"/>
      <c r="C78" s="31" t="s">
        <v>29</v>
      </c>
      <c r="D78" s="1"/>
      <c r="E78" s="6"/>
      <c r="F78"/>
    </row>
    <row r="79" spans="2:6" ht="15.75">
      <c r="B79" s="31">
        <v>37</v>
      </c>
      <c r="C79" s="31" t="s">
        <v>86</v>
      </c>
      <c r="D79" s="31" t="s">
        <v>158</v>
      </c>
      <c r="E79" s="14">
        <f>E19/(86400*0.785*(0.128^2-0.096^2))</f>
        <v>0.1970882262768491</v>
      </c>
      <c r="F79"/>
    </row>
    <row r="80" spans="2:6" ht="20.25">
      <c r="B80" s="34"/>
      <c r="C80" s="31" t="s">
        <v>99</v>
      </c>
      <c r="D80" s="34"/>
      <c r="E80" s="34"/>
      <c r="F80"/>
    </row>
    <row r="81" spans="2:6">
      <c r="B81" s="4"/>
      <c r="C81" s="4"/>
      <c r="D81" s="4"/>
      <c r="F81"/>
    </row>
    <row r="82" spans="2:6">
      <c r="B82" s="4"/>
      <c r="C82" s="4"/>
      <c r="D82" s="4"/>
      <c r="E82" s="4"/>
    </row>
    <row r="83" spans="2:6">
      <c r="B83" s="4"/>
      <c r="C83" s="4"/>
      <c r="D83" s="4"/>
      <c r="E83" s="4"/>
    </row>
    <row r="84" spans="2:6">
      <c r="B84" s="4"/>
      <c r="C84" s="4"/>
      <c r="D84" s="4"/>
      <c r="E84" s="4"/>
    </row>
    <row r="85" spans="2:6">
      <c r="B85" s="4"/>
      <c r="C85" s="4"/>
      <c r="D85" s="4"/>
      <c r="E85" s="4"/>
    </row>
    <row r="86" spans="2:6">
      <c r="B86" s="4"/>
      <c r="C86" s="4"/>
      <c r="D86" s="4"/>
      <c r="E86" s="4"/>
    </row>
    <row r="87" spans="2:6">
      <c r="B87" s="4"/>
      <c r="C87" s="4"/>
      <c r="D87" s="4"/>
      <c r="E87" s="4"/>
    </row>
    <row r="88" spans="2:6">
      <c r="B88" s="4"/>
      <c r="C88" s="4"/>
      <c r="D88" s="4"/>
      <c r="E88" s="4"/>
    </row>
    <row r="89" spans="2:6">
      <c r="B89" s="4"/>
      <c r="C89" s="4"/>
      <c r="D89" s="4"/>
      <c r="E89" s="4"/>
    </row>
    <row r="90" spans="2:6">
      <c r="B90" s="4"/>
      <c r="C90" s="4"/>
      <c r="D90" s="4"/>
      <c r="E90" s="4"/>
    </row>
  </sheetData>
  <mergeCells count="1">
    <mergeCell ref="B53:B55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2017-12-11T14:05:32Z</dcterms:modified>
</cp:coreProperties>
</file>