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45" windowWidth="20265" windowHeight="8010"/>
  </bookViews>
  <sheets>
    <sheet name="1" sheetId="26" r:id="rId1"/>
    <sheet name="Лист1" sheetId="27" r:id="rId2"/>
  </sheets>
  <calcPr calcId="124519"/>
</workbook>
</file>

<file path=xl/calcChain.xml><?xml version="1.0" encoding="utf-8"?>
<calcChain xmlns="http://schemas.openxmlformats.org/spreadsheetml/2006/main">
  <c r="J18" i="26"/>
  <c r="I16" s="1"/>
  <c r="J19"/>
  <c r="J15"/>
  <c r="H88"/>
  <c r="J64"/>
  <c r="H91" s="1"/>
  <c r="J60"/>
  <c r="H90" s="1"/>
  <c r="B34"/>
  <c r="J21"/>
  <c r="J29" s="1"/>
  <c r="J4"/>
  <c r="J11" s="1"/>
  <c r="J8" l="1"/>
  <c r="J72" s="1"/>
  <c r="J25"/>
  <c r="J68"/>
  <c r="H92" s="1"/>
  <c r="J76" l="1"/>
  <c r="J80" s="1"/>
  <c r="J84"/>
  <c r="J33"/>
  <c r="J37" s="1"/>
  <c r="J41" s="1"/>
  <c r="J45" s="1"/>
  <c r="J49" s="1"/>
  <c r="H89" l="1"/>
  <c r="J53"/>
  <c r="J57" s="1"/>
  <c r="H93" s="1"/>
</calcChain>
</file>

<file path=xl/sharedStrings.xml><?xml version="1.0" encoding="utf-8"?>
<sst xmlns="http://schemas.openxmlformats.org/spreadsheetml/2006/main" count="146" uniqueCount="136">
  <si>
    <t>м</t>
  </si>
  <si>
    <t>Q</t>
  </si>
  <si>
    <t>Сп</t>
  </si>
  <si>
    <t>ускорение</t>
  </si>
  <si>
    <t>глубина пласта</t>
  </si>
  <si>
    <t>средняя плотность вышележащих горных пород</t>
  </si>
  <si>
    <t>МПа</t>
  </si>
  <si>
    <t>Н</t>
  </si>
  <si>
    <t>g</t>
  </si>
  <si>
    <t>темп закачки жидкости гидроразрыва</t>
  </si>
  <si>
    <t>e</t>
  </si>
  <si>
    <t>число е</t>
  </si>
  <si>
    <t xml:space="preserve">1. Рассчитываем по формуле вертикальную составляющую горного давления: </t>
  </si>
  <si>
    <t xml:space="preserve">2. Рассчитываем по формуле горизонтальную составляющую горного давления: </t>
  </si>
  <si>
    <t>3.Рассчитываем по формуле давление разрыва:</t>
  </si>
  <si>
    <t>4.По формуле рассчитываем объемную концентрацию песка:</t>
  </si>
  <si>
    <t>5. Плотность жидкости- песконосителя рассчитывается по формуле:</t>
  </si>
  <si>
    <t>6. Вязкость жидкости разрыва с песком рассчитываем по формуле</t>
  </si>
  <si>
    <t>7. Число Рейнольдса определяется по формуле</t>
  </si>
  <si>
    <t>9. Потери на трение рассчитываются по формуле</t>
  </si>
  <si>
    <t>12. Для определения необходимого числа насосных агрегатов используем формулу</t>
  </si>
  <si>
    <t>13. Необходимый объем продавки рассчитывается по формуле</t>
  </si>
  <si>
    <t xml:space="preserve">14. Объем жидкости песконосителя при концентрации в ней песка рассчитывается по формуле </t>
  </si>
  <si>
    <t>15. Определяем время проведения ГРП по</t>
  </si>
  <si>
    <t>16. Для определения длины трещины используем формулу</t>
  </si>
  <si>
    <t>17. Для определения ширины трещины используем формулу</t>
  </si>
  <si>
    <t>толщна пласта</t>
  </si>
  <si>
    <t>коэффициент пуассона</t>
  </si>
  <si>
    <t>концентрация песка в 1 м3 жид. (кг/м3)(Сп = 250…300 кг/м3)</t>
  </si>
  <si>
    <t>плотность жидкости песконосителя</t>
  </si>
  <si>
    <t>тонн</t>
  </si>
  <si>
    <t>Рг.г=Рг.в. * н / ( 1- н )</t>
  </si>
  <si>
    <t>Па*с</t>
  </si>
  <si>
    <t>wж</t>
  </si>
  <si>
    <t>внутренний  диаметр  (нкт)</t>
  </si>
  <si>
    <t xml:space="preserve">8. Коэффициент гидравлического сопротивления определим по формуле </t>
  </si>
  <si>
    <t xml:space="preserve">N = (Ру*Q)/(Pp*Qp*Кт.с.) + 1 </t>
  </si>
  <si>
    <t xml:space="preserve">коэффициент технического состояния агрегата </t>
  </si>
  <si>
    <t xml:space="preserve">Кт.с. </t>
  </si>
  <si>
    <t>Pp</t>
  </si>
  <si>
    <t>Qp</t>
  </si>
  <si>
    <t>рабочее давление агрегата</t>
  </si>
  <si>
    <t>подача агрегата при данном Рр</t>
  </si>
  <si>
    <t>плотность песка</t>
  </si>
  <si>
    <t>Vж.=Vп/Cп</t>
  </si>
  <si>
    <t xml:space="preserve">Т=(Vж. + Vп.)/Qр       </t>
  </si>
  <si>
    <t>Рр=29МПа -рабочее давление агрегата 4АН-700 на 4 скорости</t>
  </si>
  <si>
    <t>10. Если число Rе больше 200, то потери давления на трение увеличиваются в 1,52 раза</t>
  </si>
  <si>
    <t xml:space="preserve">11.Давление на устье скважины рассчитываются по формуле </t>
  </si>
  <si>
    <t>м3/с</t>
  </si>
  <si>
    <t>h</t>
  </si>
  <si>
    <t>кг/м3</t>
  </si>
  <si>
    <t>Вязкость жидкости песконосителя</t>
  </si>
  <si>
    <t xml:space="preserve"> м3</t>
  </si>
  <si>
    <t>мин</t>
  </si>
  <si>
    <t>Для  ГРП необходимо   агрегат: 4АН-70</t>
  </si>
  <si>
    <t>шт</t>
  </si>
  <si>
    <t>Исходные данные</t>
  </si>
  <si>
    <t>Коэффициент разрыва</t>
  </si>
  <si>
    <t>пластовое давление</t>
  </si>
  <si>
    <t>Рпл</t>
  </si>
  <si>
    <t>давление расслоения пород</t>
  </si>
  <si>
    <t>Рs</t>
  </si>
  <si>
    <t>Расчет ГРП</t>
  </si>
  <si>
    <r>
      <t>Рг.в.=ρ</t>
    </r>
    <r>
      <rPr>
        <vertAlign val="subscript"/>
        <sz val="14"/>
        <color rgb="FF000000"/>
        <rFont val="Times New Roman"/>
        <family val="1"/>
        <charset val="204"/>
      </rPr>
      <t>п</t>
    </r>
    <r>
      <rPr>
        <sz val="14"/>
        <color rgb="FF000000"/>
        <rFont val="Times New Roman"/>
        <family val="1"/>
        <charset val="204"/>
      </rPr>
      <t>*g*Нскв.*10</t>
    </r>
    <r>
      <rPr>
        <vertAlign val="superscript"/>
        <sz val="14"/>
        <color rgb="FF000000"/>
        <rFont val="Times New Roman"/>
        <family val="1"/>
        <charset val="204"/>
      </rPr>
      <t>-6</t>
    </r>
  </si>
  <si>
    <r>
      <t>м/с</t>
    </r>
    <r>
      <rPr>
        <vertAlign val="superscript"/>
        <sz val="14"/>
        <color rgb="FF121212"/>
        <rFont val="Times New Roman"/>
        <family val="1"/>
        <charset val="204"/>
      </rPr>
      <t>2</t>
    </r>
  </si>
  <si>
    <r>
      <t>ρ</t>
    </r>
    <r>
      <rPr>
        <vertAlign val="subscript"/>
        <sz val="14"/>
        <color theme="1"/>
        <rFont val="Times New Roman"/>
        <family val="1"/>
        <charset val="204"/>
      </rPr>
      <t>п</t>
    </r>
  </si>
  <si>
    <r>
      <t>кг/м</t>
    </r>
    <r>
      <rPr>
        <vertAlign val="superscript"/>
        <sz val="14"/>
        <color theme="1"/>
        <rFont val="Times New Roman"/>
        <family val="1"/>
        <charset val="204"/>
      </rPr>
      <t>3</t>
    </r>
    <r>
      <rPr>
        <sz val="14"/>
        <color theme="1"/>
        <rFont val="Times New Roman"/>
        <family val="1"/>
        <charset val="204"/>
      </rPr>
      <t xml:space="preserve"> </t>
    </r>
  </si>
  <si>
    <r>
      <t>D</t>
    </r>
    <r>
      <rPr>
        <vertAlign val="subscript"/>
        <sz val="14"/>
        <color theme="1"/>
        <rFont val="Times New Roman"/>
        <family val="1"/>
        <charset val="204"/>
      </rPr>
      <t>В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</si>
  <si>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м</t>
    </r>
    <r>
      <rPr>
        <vertAlign val="superscript"/>
        <sz val="14"/>
        <color theme="1"/>
        <rFont val="Times New Roman"/>
        <family val="1"/>
        <charset val="204"/>
      </rPr>
      <t>3</t>
    </r>
    <r>
      <rPr>
        <sz val="14"/>
        <color theme="1"/>
        <rFont val="Times New Roman"/>
        <family val="1"/>
        <charset val="204"/>
      </rPr>
      <t>/с</t>
    </r>
  </si>
  <si>
    <r>
      <t>ρ</t>
    </r>
    <r>
      <rPr>
        <vertAlign val="subscript"/>
        <sz val="14"/>
        <color theme="1"/>
        <rFont val="Times New Roman"/>
        <family val="1"/>
        <charset val="204"/>
      </rPr>
      <t>пс</t>
    </r>
  </si>
  <si>
    <r>
      <t>Вп =(Сп/ρ</t>
    </r>
    <r>
      <rPr>
        <vertAlign val="subscript"/>
        <sz val="14"/>
        <color rgb="FF000000"/>
        <rFont val="Times New Roman"/>
        <family val="1"/>
        <charset val="204"/>
      </rPr>
      <t>пс</t>
    </r>
    <r>
      <rPr>
        <sz val="14"/>
        <color rgb="FF000000"/>
        <rFont val="Times New Roman"/>
        <family val="1"/>
        <charset val="204"/>
      </rPr>
      <t>)/(Сп/ρ</t>
    </r>
    <r>
      <rPr>
        <vertAlign val="subscript"/>
        <sz val="14"/>
        <color rgb="FF000000"/>
        <rFont val="Times New Roman"/>
        <family val="1"/>
        <charset val="204"/>
      </rPr>
      <t>пс</t>
    </r>
    <r>
      <rPr>
        <sz val="14"/>
        <color rgb="FF000000"/>
        <rFont val="Times New Roman"/>
        <family val="1"/>
        <charset val="204"/>
      </rPr>
      <t xml:space="preserve"> +1)</t>
    </r>
  </si>
  <si>
    <r>
      <t>ρ</t>
    </r>
    <r>
      <rPr>
        <vertAlign val="subscript"/>
        <sz val="14"/>
        <color theme="1"/>
        <rFont val="Times New Roman"/>
        <family val="1"/>
        <charset val="204"/>
      </rPr>
      <t>ж.п.</t>
    </r>
  </si>
  <si>
    <r>
      <t>ρ</t>
    </r>
    <r>
      <rPr>
        <vertAlign val="subscript"/>
        <sz val="14"/>
        <color rgb="FF000000"/>
        <rFont val="Times New Roman"/>
        <family val="1"/>
        <charset val="204"/>
      </rPr>
      <t>ж.п.</t>
    </r>
    <r>
      <rPr>
        <sz val="14"/>
        <color rgb="FF000000"/>
        <rFont val="Times New Roman"/>
        <family val="1"/>
        <charset val="204"/>
      </rPr>
      <t xml:space="preserve"> = ρп `</t>
    </r>
    <r>
      <rPr>
        <vertAlign val="subscript"/>
        <sz val="14"/>
        <color rgb="FF000000"/>
        <rFont val="Times New Roman"/>
        <family val="1"/>
        <charset val="204"/>
      </rPr>
      <t>ж.п.</t>
    </r>
    <r>
      <rPr>
        <sz val="14"/>
        <color rgb="FF000000"/>
        <rFont val="Times New Roman"/>
        <family val="1"/>
        <charset val="204"/>
      </rPr>
      <t>*(1-Вп) + сп.*Вп</t>
    </r>
  </si>
  <si>
    <r>
      <t>Q</t>
    </r>
    <r>
      <rPr>
        <vertAlign val="subscript"/>
        <sz val="14"/>
        <color rgb="FF000000"/>
        <rFont val="Times New Roman"/>
        <family val="1"/>
        <charset val="204"/>
      </rPr>
      <t>п</t>
    </r>
  </si>
  <si>
    <r>
      <t>μ</t>
    </r>
    <r>
      <rPr>
        <vertAlign val="subscript"/>
        <sz val="14"/>
        <color rgb="FF000000"/>
        <rFont val="Times New Roman"/>
        <family val="1"/>
        <charset val="204"/>
      </rPr>
      <t>ж.п.</t>
    </r>
    <r>
      <rPr>
        <sz val="14"/>
        <color rgb="FF000000"/>
        <rFont val="Times New Roman"/>
        <family val="1"/>
        <charset val="204"/>
      </rPr>
      <t xml:space="preserve"> = μ'</t>
    </r>
    <r>
      <rPr>
        <vertAlign val="subscript"/>
        <sz val="14"/>
        <color rgb="FF000000"/>
        <rFont val="Times New Roman"/>
        <family val="1"/>
        <charset val="204"/>
      </rPr>
      <t>ж.п.</t>
    </r>
    <r>
      <rPr>
        <sz val="14"/>
        <color rgb="FF000000"/>
        <rFont val="Times New Roman"/>
        <family val="1"/>
        <charset val="204"/>
      </rPr>
      <t xml:space="preserve"> *ехр</t>
    </r>
    <r>
      <rPr>
        <vertAlign val="superscript"/>
        <sz val="14"/>
        <color rgb="FF000000"/>
        <rFont val="Times New Roman"/>
        <family val="1"/>
        <charset val="204"/>
      </rPr>
      <t xml:space="preserve">(3,18*Вп) </t>
    </r>
  </si>
  <si>
    <r>
      <t>Re = 4*Q*ρ</t>
    </r>
    <r>
      <rPr>
        <vertAlign val="subscript"/>
        <sz val="14"/>
        <color rgb="FF000000"/>
        <rFont val="Times New Roman"/>
        <family val="1"/>
        <charset val="204"/>
      </rPr>
      <t>ж.п</t>
    </r>
    <r>
      <rPr>
        <sz val="14"/>
        <color rgb="FF000000"/>
        <rFont val="Times New Roman"/>
        <family val="1"/>
        <charset val="204"/>
      </rPr>
      <t>/(π*d</t>
    </r>
    <r>
      <rPr>
        <vertAlign val="subscript"/>
        <sz val="14"/>
        <color rgb="FF000000"/>
        <rFont val="Times New Roman"/>
        <family val="1"/>
        <charset val="204"/>
      </rPr>
      <t>нкт</t>
    </r>
    <r>
      <rPr>
        <sz val="14"/>
        <color rgb="FF000000"/>
        <rFont val="Times New Roman"/>
        <family val="1"/>
        <charset val="204"/>
      </rPr>
      <t>*μ</t>
    </r>
    <r>
      <rPr>
        <vertAlign val="subscript"/>
        <sz val="14"/>
        <color rgb="FF000000"/>
        <rFont val="Times New Roman"/>
        <family val="1"/>
        <charset val="204"/>
      </rPr>
      <t>ж.п</t>
    </r>
    <r>
      <rPr>
        <sz val="14"/>
        <color rgb="FF000000"/>
        <rFont val="Times New Roman"/>
        <family val="1"/>
        <charset val="204"/>
      </rPr>
      <t xml:space="preserve">.) </t>
    </r>
  </si>
  <si>
    <r>
      <t>Ртр'=8* λ* Q</t>
    </r>
    <r>
      <rPr>
        <vertAlign val="superscript"/>
        <sz val="14"/>
        <color rgb="FF000000"/>
        <rFont val="Times New Roman"/>
        <family val="1"/>
        <charset val="204"/>
      </rPr>
      <t>2</t>
    </r>
    <r>
      <rPr>
        <sz val="14"/>
        <color rgb="FF000000"/>
        <rFont val="Times New Roman"/>
        <family val="1"/>
        <charset val="204"/>
      </rPr>
      <t>* Нскв.* ρ</t>
    </r>
    <r>
      <rPr>
        <vertAlign val="subscript"/>
        <sz val="14"/>
        <color rgb="FF000000"/>
        <rFont val="Times New Roman"/>
        <family val="1"/>
        <charset val="204"/>
      </rPr>
      <t>ж.п.</t>
    </r>
    <r>
      <rPr>
        <sz val="14"/>
        <color rgb="FF000000"/>
        <rFont val="Times New Roman"/>
        <family val="1"/>
        <charset val="204"/>
      </rPr>
      <t>/(π</t>
    </r>
    <r>
      <rPr>
        <vertAlign val="superscript"/>
        <sz val="14"/>
        <color rgb="FF000000"/>
        <rFont val="Times New Roman"/>
        <family val="1"/>
        <charset val="204"/>
      </rPr>
      <t>2</t>
    </r>
    <r>
      <rPr>
        <sz val="14"/>
        <color rgb="FF000000"/>
        <rFont val="Times New Roman"/>
        <family val="1"/>
        <charset val="204"/>
      </rPr>
      <t>* d</t>
    </r>
    <r>
      <rPr>
        <vertAlign val="subscript"/>
        <sz val="14"/>
        <color rgb="FF000000"/>
        <rFont val="Times New Roman"/>
        <family val="1"/>
        <charset val="204"/>
      </rPr>
      <t>вн</t>
    </r>
    <r>
      <rPr>
        <vertAlign val="superscript"/>
        <sz val="14"/>
        <color rgb="FF000000"/>
        <rFont val="Times New Roman"/>
        <family val="1"/>
        <charset val="204"/>
      </rPr>
      <t>5</t>
    </r>
    <r>
      <rPr>
        <sz val="14"/>
        <color rgb="FF000000"/>
        <rFont val="Times New Roman"/>
        <family val="1"/>
        <charset val="204"/>
      </rPr>
      <t>)</t>
    </r>
  </si>
  <si>
    <r>
      <t>Vп=0,785*d</t>
    </r>
    <r>
      <rPr>
        <vertAlign val="superscript"/>
        <sz val="14"/>
        <color rgb="FF000000"/>
        <rFont val="Times New Roman"/>
        <family val="1"/>
        <charset val="204"/>
      </rPr>
      <t>2</t>
    </r>
    <r>
      <rPr>
        <sz val="14"/>
        <color rgb="FF000000"/>
        <rFont val="Times New Roman"/>
        <family val="1"/>
        <charset val="204"/>
      </rPr>
      <t xml:space="preserve">вн.* Нскв. </t>
    </r>
  </si>
  <si>
    <t>Рраз= Рг.в. – Рпл+ Рs</t>
  </si>
  <si>
    <t xml:space="preserve">λ = 64/Re </t>
  </si>
  <si>
    <r>
      <t>Q</t>
    </r>
    <r>
      <rPr>
        <i/>
        <vertAlign val="subscript"/>
        <sz val="14"/>
        <color rgb="FF000000"/>
        <rFont val="Times New Roman"/>
        <family val="1"/>
        <charset val="204"/>
      </rPr>
      <t>р</t>
    </r>
    <r>
      <rPr>
        <i/>
        <sz val="14"/>
        <color rgb="FF000000"/>
        <rFont val="Times New Roman"/>
        <family val="1"/>
        <charset val="204"/>
      </rPr>
      <t>=0,0146м</t>
    </r>
    <r>
      <rPr>
        <i/>
        <vertAlign val="superscript"/>
        <sz val="14"/>
        <color rgb="FF000000"/>
        <rFont val="Times New Roman"/>
        <family val="1"/>
        <charset val="204"/>
      </rPr>
      <t>3</t>
    </r>
    <r>
      <rPr>
        <i/>
        <sz val="14"/>
        <color rgb="FF000000"/>
        <rFont val="Times New Roman"/>
        <family val="1"/>
        <charset val="204"/>
      </rPr>
      <t>/с – подача агрегата;</t>
    </r>
  </si>
  <si>
    <r>
      <t>Wo=(4*(1-н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)*L*(Рзаб.р.-Рг.г.)) / Е </t>
    </r>
  </si>
  <si>
    <r>
      <t>Вывод: </t>
    </r>
    <r>
      <rPr>
        <sz val="14"/>
        <color rgb="FF000000"/>
        <rFont val="Times New Roman"/>
        <family val="1"/>
        <charset val="204"/>
      </rPr>
      <t>основные характеристики ГРП</t>
    </r>
  </si>
  <si>
    <r>
      <t>забойное давление разрыва: Р</t>
    </r>
    <r>
      <rPr>
        <vertAlign val="subscript"/>
        <sz val="14"/>
        <color rgb="FF000000"/>
        <rFont val="Times New Roman"/>
        <family val="1"/>
        <charset val="204"/>
      </rPr>
      <t xml:space="preserve">заб </t>
    </r>
    <r>
      <rPr>
        <sz val="14"/>
        <color rgb="FF000000"/>
        <rFont val="Times New Roman"/>
        <family val="1"/>
        <charset val="204"/>
      </rPr>
      <t xml:space="preserve">= </t>
    </r>
  </si>
  <si>
    <r>
      <t>давление на устье скважины: Р</t>
    </r>
    <r>
      <rPr>
        <vertAlign val="subscript"/>
        <sz val="14"/>
        <color rgb="FF000000"/>
        <rFont val="Times New Roman"/>
        <family val="1"/>
        <charset val="204"/>
      </rPr>
      <t>у</t>
    </r>
    <r>
      <rPr>
        <sz val="14"/>
        <color rgb="FF000000"/>
        <rFont val="Times New Roman"/>
        <family val="1"/>
        <charset val="204"/>
      </rPr>
      <t>=</t>
    </r>
  </si>
  <si>
    <r>
      <t>объём продавочной жидкости: V</t>
    </r>
    <r>
      <rPr>
        <vertAlign val="subscript"/>
        <sz val="14"/>
        <color rgb="FF000000"/>
        <rFont val="Times New Roman"/>
        <family val="1"/>
        <charset val="204"/>
      </rPr>
      <t>п</t>
    </r>
    <r>
      <rPr>
        <sz val="14"/>
        <color rgb="FF000000"/>
        <rFont val="Times New Roman"/>
        <family val="1"/>
        <charset val="204"/>
      </rPr>
      <t>=</t>
    </r>
  </si>
  <si>
    <r>
      <t>объём жидкости для  ГРП: V</t>
    </r>
    <r>
      <rPr>
        <vertAlign val="subscript"/>
        <sz val="14"/>
        <color rgb="FF000000"/>
        <rFont val="Times New Roman"/>
        <family val="1"/>
        <charset val="204"/>
      </rPr>
      <t>ж</t>
    </r>
    <r>
      <rPr>
        <sz val="14"/>
        <color rgb="FF000000"/>
        <rFont val="Times New Roman"/>
        <family val="1"/>
        <charset val="204"/>
      </rPr>
      <t>=</t>
    </r>
  </si>
  <si>
    <r>
      <t>мкм</t>
    </r>
    <r>
      <rPr>
        <vertAlign val="superscript"/>
        <sz val="14"/>
        <color theme="1"/>
        <rFont val="Times New Roman"/>
        <family val="1"/>
        <charset val="204"/>
      </rPr>
      <t>2</t>
    </r>
  </si>
  <si>
    <t>Рг.г.=64,58*(0,2729/(1-0,2729))= 24,240 МПа</t>
  </si>
  <si>
    <t>5,25*(1,265*10^11)^2*0,012*0,2/((1-0,2729^2)^2*(24,24*10^6)^3*7,6) =</t>
  </si>
  <si>
    <t>Рзаб/Рг*(Рзаб/Рг-1)^3=5,25*(Е^2)*Q*μ/((1-v^2)^2)*Рг^2*Vж)=0,00217</t>
  </si>
  <si>
    <t>Рзаб</t>
  </si>
  <si>
    <t>Рг</t>
  </si>
  <si>
    <r>
      <t>ρ</t>
    </r>
    <r>
      <rPr>
        <vertAlign val="subscript"/>
        <sz val="14"/>
        <color rgb="FF000000"/>
        <rFont val="Times New Roman"/>
        <family val="1"/>
        <charset val="204"/>
      </rPr>
      <t>ж.п.</t>
    </r>
    <r>
      <rPr>
        <sz val="14"/>
        <color rgb="FF000000"/>
        <rFont val="Times New Roman"/>
        <family val="1"/>
        <charset val="204"/>
      </rPr>
      <t xml:space="preserve"> = 930*(1-0,106)+2310*0,106 = 1076,8кг/м3</t>
    </r>
  </si>
  <si>
    <t>Вп =(275/2310)/275/2310+1)=0,106</t>
  </si>
  <si>
    <r>
      <t>μ</t>
    </r>
    <r>
      <rPr>
        <vertAlign val="subscript"/>
        <sz val="14"/>
        <color rgb="FF000000"/>
        <rFont val="Times New Roman"/>
        <family val="1"/>
        <charset val="204"/>
      </rPr>
      <t>ж.п.</t>
    </r>
    <r>
      <rPr>
        <sz val="14"/>
        <color rgb="FF000000"/>
        <rFont val="Times New Roman"/>
        <family val="1"/>
        <charset val="204"/>
      </rPr>
      <t xml:space="preserve"> = 0,2*ехр</t>
    </r>
    <r>
      <rPr>
        <vertAlign val="superscript"/>
        <sz val="14"/>
        <color rgb="FF000000"/>
        <rFont val="Times New Roman"/>
        <family val="1"/>
        <charset val="204"/>
      </rPr>
      <t>(3,18*0,106)</t>
    </r>
    <r>
      <rPr>
        <sz val="14"/>
        <color rgb="FF000000"/>
        <rFont val="Times New Roman"/>
        <family val="1"/>
        <charset val="204"/>
      </rPr>
      <t xml:space="preserve"> = 0,280 Па*с</t>
    </r>
  </si>
  <si>
    <t>Rе=(4*0,012*1076,8)/(3,14*0,076*0,281)= 772,1</t>
  </si>
  <si>
    <t>λ=64/772,1=0,083</t>
  </si>
  <si>
    <r>
      <t>Ртр'=8*0,083*0,012^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>*2850*1076,8/(3,14^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>*0,076^</t>
    </r>
    <r>
      <rPr>
        <vertAlign val="superscript"/>
        <sz val="14"/>
        <color theme="1"/>
        <rFont val="Times New Roman"/>
        <family val="1"/>
        <charset val="204"/>
      </rPr>
      <t>5</t>
    </r>
    <r>
      <rPr>
        <sz val="14"/>
        <color theme="1"/>
        <rFont val="Times New Roman"/>
        <family val="1"/>
        <charset val="204"/>
      </rPr>
      <t>)*10^</t>
    </r>
    <r>
      <rPr>
        <vertAlign val="superscript"/>
        <sz val="14"/>
        <color theme="1"/>
        <rFont val="Times New Roman"/>
        <family val="1"/>
        <charset val="204"/>
      </rPr>
      <t>-6</t>
    </r>
    <r>
      <rPr>
        <sz val="14"/>
        <color theme="1"/>
        <rFont val="Times New Roman"/>
        <family val="1"/>
        <charset val="204"/>
      </rPr>
      <t xml:space="preserve"> = 11,7 мПа</t>
    </r>
  </si>
  <si>
    <t>Ртр.=1,52*11,7= 17,8 мПа</t>
  </si>
  <si>
    <r>
      <t>Ру=Рраз-ρ</t>
    </r>
    <r>
      <rPr>
        <vertAlign val="subscript"/>
        <sz val="14"/>
        <color rgb="FF000000"/>
        <rFont val="Times New Roman"/>
        <family val="1"/>
        <charset val="204"/>
      </rPr>
      <t>ж.п.</t>
    </r>
    <r>
      <rPr>
        <sz val="14"/>
        <color rgb="FF000000"/>
        <rFont val="Times New Roman"/>
        <family val="1"/>
        <charset val="204"/>
      </rPr>
      <t>*g*Нскв*10</t>
    </r>
    <r>
      <rPr>
        <vertAlign val="superscript"/>
        <sz val="14"/>
        <color rgb="FF000000"/>
        <rFont val="Times New Roman"/>
        <family val="1"/>
        <charset val="204"/>
      </rPr>
      <t>-6</t>
    </r>
    <r>
      <rPr>
        <sz val="14"/>
        <color rgb="FF000000"/>
        <rFont val="Times New Roman"/>
        <family val="1"/>
        <charset val="204"/>
      </rPr>
      <t>+Ртр'</t>
    </r>
  </si>
  <si>
    <r>
      <t>Ру=27,52 - (1076,8*9,81*2850)*10^</t>
    </r>
    <r>
      <rPr>
        <vertAlign val="superscript"/>
        <sz val="14"/>
        <color rgb="FF000000"/>
        <rFont val="Times New Roman"/>
        <family val="1"/>
        <charset val="204"/>
      </rPr>
      <t>-6</t>
    </r>
    <r>
      <rPr>
        <sz val="14"/>
        <color rgb="FF000000"/>
        <rFont val="Times New Roman"/>
        <family val="1"/>
        <charset val="204"/>
      </rPr>
      <t>+17,8= 15,2 мПа</t>
    </r>
  </si>
  <si>
    <r>
      <t>К</t>
    </r>
    <r>
      <rPr>
        <i/>
        <vertAlign val="subscript"/>
        <sz val="14"/>
        <color rgb="FF000000"/>
        <rFont val="Times New Roman"/>
        <family val="1"/>
        <charset val="204"/>
      </rPr>
      <t>тс</t>
    </r>
    <r>
      <rPr>
        <i/>
        <sz val="14"/>
        <color rgb="FF000000"/>
        <rFont val="Times New Roman"/>
        <family val="1"/>
        <charset val="204"/>
      </rPr>
      <t>=0,5-0,8 – коэффициент технического состояния агрегата (0,6)</t>
    </r>
  </si>
  <si>
    <t>N=(15,2*0,012)/(29*0,0146*0,6)+1=1,7 = 2 агрегата</t>
  </si>
  <si>
    <r>
      <t>Vп.=0,785*0,076^</t>
    </r>
    <r>
      <rPr>
        <vertAlign val="superscript"/>
        <sz val="14"/>
        <color rgb="FF000000"/>
        <rFont val="Times New Roman"/>
        <family val="1"/>
        <charset val="204"/>
      </rPr>
      <t>2</t>
    </r>
    <r>
      <rPr>
        <sz val="14"/>
        <color rgb="FF000000"/>
        <rFont val="Times New Roman"/>
        <family val="1"/>
        <charset val="204"/>
      </rPr>
      <t>*2850=12,92м3</t>
    </r>
  </si>
  <si>
    <t>Vж.=7,6*10^3/275=27,6м3</t>
  </si>
  <si>
    <t>Объем песка (жидкости)</t>
  </si>
  <si>
    <t>Т=(7,6+12,92)/(0,0146*60)=23,4мин.</t>
  </si>
  <si>
    <t>Wo=(4*(1-0,2729^2)*66,2*(27,26-24,24)*10^6)/(1,265*10^11)= 0,006м</t>
  </si>
  <si>
    <t>модуль упругости пород</t>
  </si>
  <si>
    <r>
      <t>1,265*10^</t>
    </r>
    <r>
      <rPr>
        <vertAlign val="superscript"/>
        <sz val="14"/>
        <color theme="1"/>
        <rFont val="Times New Roman"/>
        <family val="1"/>
        <charset val="204"/>
      </rPr>
      <t>11</t>
    </r>
  </si>
  <si>
    <t>Проницаемость трещины</t>
  </si>
  <si>
    <r>
      <t>kт=ω^</t>
    </r>
    <r>
      <rPr>
        <vertAlign val="superscript"/>
        <sz val="14"/>
        <color rgb="FF000000"/>
        <rFont val="Times New Roman"/>
        <family val="1"/>
        <charset val="204"/>
      </rPr>
      <t>2</t>
    </r>
    <r>
      <rPr>
        <sz val="14"/>
        <color rgb="FF000000"/>
        <rFont val="Times New Roman"/>
        <family val="1"/>
        <charset val="204"/>
      </rPr>
      <t>/12</t>
    </r>
  </si>
  <si>
    <r>
      <t>kт=0,006^2/12=0,0000034мкм</t>
    </r>
    <r>
      <rPr>
        <vertAlign val="superscript"/>
        <sz val="14"/>
        <color rgb="FF000000"/>
        <rFont val="Times New Roman"/>
        <family val="1"/>
        <charset val="204"/>
      </rPr>
      <t>2</t>
    </r>
  </si>
  <si>
    <t>радиус контура питания</t>
  </si>
  <si>
    <t>радиус скважины</t>
  </si>
  <si>
    <t>средняя проницаемость</t>
  </si>
  <si>
    <t>мкм2</t>
  </si>
  <si>
    <t>Rк</t>
  </si>
  <si>
    <r>
      <t>r</t>
    </r>
    <r>
      <rPr>
        <vertAlign val="subscript"/>
        <sz val="14"/>
        <color theme="1"/>
        <rFont val="Times New Roman"/>
        <family val="1"/>
        <charset val="204"/>
      </rPr>
      <t>с</t>
    </r>
  </si>
  <si>
    <t>время работы</t>
  </si>
  <si>
    <r>
      <t>Рг.в.=2310*9,81*2850*10^</t>
    </r>
    <r>
      <rPr>
        <vertAlign val="superscript"/>
        <sz val="14"/>
        <color rgb="FF000000"/>
        <rFont val="Times New Roman"/>
        <family val="1"/>
        <charset val="204"/>
      </rPr>
      <t>-6</t>
    </r>
    <r>
      <rPr>
        <sz val="14"/>
        <color rgb="FF000000"/>
        <rFont val="Times New Roman"/>
        <family val="1"/>
        <charset val="204"/>
      </rPr>
      <t xml:space="preserve"> =64,58МПа</t>
    </r>
  </si>
  <si>
    <t>L=(7,6*1,265*10^11/(5,6*(1-0,2729^2)*12,9*(27,52-24,24)*10^6))^0,5= 66,2 м</t>
  </si>
  <si>
    <t>Эффект от ГРП</t>
  </si>
  <si>
    <t>Увеличение дебита в 2,6 раза</t>
  </si>
  <si>
    <r>
      <t>Q</t>
    </r>
    <r>
      <rPr>
        <vertAlign val="sub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>/Q</t>
    </r>
    <r>
      <rPr>
        <vertAlign val="subscript"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>=LN(1500/0,075</t>
    </r>
    <r>
      <rPr>
        <vertAlign val="subscript"/>
        <sz val="14"/>
        <color theme="1"/>
        <rFont val="Times New Roman"/>
        <family val="1"/>
        <charset val="204"/>
      </rPr>
      <t>)</t>
    </r>
    <r>
      <rPr>
        <sz val="14"/>
        <color theme="1"/>
        <rFont val="Times New Roman"/>
        <family val="1"/>
        <charset val="204"/>
      </rPr>
      <t>/LN(1500/(66,2/2))</t>
    </r>
  </si>
  <si>
    <r>
      <t>Q</t>
    </r>
    <r>
      <rPr>
        <vertAlign val="sub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>/Q</t>
    </r>
    <r>
      <rPr>
        <vertAlign val="subscript"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>=lg(Rk/r</t>
    </r>
    <r>
      <rPr>
        <vertAlign val="subscript"/>
        <sz val="14"/>
        <color theme="1"/>
        <rFont val="Times New Roman"/>
        <family val="1"/>
        <charset val="204"/>
      </rPr>
      <t>c)/</t>
    </r>
    <r>
      <rPr>
        <sz val="14"/>
        <color theme="1"/>
        <rFont val="Times New Roman"/>
        <family val="1"/>
        <charset val="204"/>
      </rPr>
      <t>lg(Rk/l/2)</t>
    </r>
  </si>
  <si>
    <t>Диаметр по долоту</t>
  </si>
  <si>
    <t>Дебит до ГРП</t>
  </si>
  <si>
    <t>Проницаемость породы</t>
  </si>
  <si>
    <t>http://www.neftvnb.ru/text/biblioteka/grp_02.pdf</t>
  </si>
  <si>
    <t>Е</t>
  </si>
  <si>
    <t>v</t>
  </si>
  <si>
    <t>3.1 Рраз. = 64,58 - 28,5 + 1,5=37,6 МПа</t>
  </si>
  <si>
    <t>3.2   Рзаб/Рг*(Рзаб/Рг-1)^3 =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</si>
</sst>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0.00000"/>
    <numFmt numFmtId="167" formatCode="0.0000000"/>
  </numFmts>
  <fonts count="2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vertAlign val="subscript"/>
      <sz val="14"/>
      <color rgb="FF000000"/>
      <name val="Times New Roman"/>
      <family val="1"/>
      <charset val="204"/>
    </font>
    <font>
      <vertAlign val="superscript"/>
      <sz val="14"/>
      <color rgb="FF000000"/>
      <name val="Times New Roman"/>
      <family val="1"/>
      <charset val="204"/>
    </font>
    <font>
      <vertAlign val="superscript"/>
      <sz val="14"/>
      <color rgb="FF121212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vertAlign val="subscript"/>
      <sz val="14"/>
      <color rgb="FF000000"/>
      <name val="Times New Roman"/>
      <family val="1"/>
      <charset val="204"/>
    </font>
    <font>
      <i/>
      <vertAlign val="superscript"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u/>
      <sz val="8.25"/>
      <color theme="10"/>
      <name val="Calibri"/>
      <family val="2"/>
      <charset val="204"/>
    </font>
    <font>
      <u/>
      <sz val="14"/>
      <color theme="10"/>
      <name val="Calibri"/>
      <family val="2"/>
      <charset val="204"/>
    </font>
    <font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3" borderId="0" xfId="0" applyFont="1" applyFill="1"/>
    <xf numFmtId="0" fontId="3" fillId="0" borderId="5" xfId="0" applyFont="1" applyBorder="1"/>
    <xf numFmtId="0" fontId="1" fillId="0" borderId="1" xfId="0" applyFont="1" applyBorder="1"/>
    <xf numFmtId="0" fontId="1" fillId="0" borderId="6" xfId="0" applyFont="1" applyFill="1" applyBorder="1"/>
    <xf numFmtId="0" fontId="3" fillId="2" borderId="0" xfId="0" applyFont="1" applyFill="1"/>
    <xf numFmtId="0" fontId="3" fillId="0" borderId="1" xfId="0" applyFont="1" applyBorder="1"/>
    <xf numFmtId="0" fontId="3" fillId="4" borderId="0" xfId="0" applyFont="1" applyFill="1"/>
    <xf numFmtId="0" fontId="9" fillId="0" borderId="0" xfId="0" applyFont="1" applyFill="1"/>
    <xf numFmtId="0" fontId="10" fillId="0" borderId="0" xfId="0" applyFont="1"/>
    <xf numFmtId="0" fontId="10" fillId="0" borderId="0" xfId="0" applyFont="1" applyFill="1"/>
    <xf numFmtId="0" fontId="1" fillId="2" borderId="0" xfId="0" applyFont="1" applyFill="1"/>
    <xf numFmtId="0" fontId="1" fillId="3" borderId="0" xfId="0" applyFont="1" applyFill="1"/>
    <xf numFmtId="0" fontId="1" fillId="0" borderId="0" xfId="0" applyFont="1" applyFill="1"/>
    <xf numFmtId="2" fontId="11" fillId="0" borderId="0" xfId="0" applyNumberFormat="1" applyFont="1" applyFill="1"/>
    <xf numFmtId="0" fontId="9" fillId="0" borderId="0" xfId="0" applyFont="1"/>
    <xf numFmtId="0" fontId="14" fillId="0" borderId="0" xfId="0" applyFont="1"/>
    <xf numFmtId="0" fontId="3" fillId="0" borderId="1" xfId="0" applyFont="1" applyBorder="1" applyAlignment="1">
      <alignment horizontal="left" indent="1"/>
    </xf>
    <xf numFmtId="0" fontId="10" fillId="0" borderId="1" xfId="0" applyFont="1" applyBorder="1"/>
    <xf numFmtId="0" fontId="1" fillId="2" borderId="1" xfId="0" applyFont="1" applyFill="1" applyBorder="1"/>
    <xf numFmtId="0" fontId="17" fillId="0" borderId="0" xfId="0" applyFont="1"/>
    <xf numFmtId="0" fontId="1" fillId="5" borderId="1" xfId="0" applyFont="1" applyFill="1" applyBorder="1"/>
    <xf numFmtId="0" fontId="1" fillId="5" borderId="11" xfId="0" applyFont="1" applyFill="1" applyBorder="1"/>
    <xf numFmtId="0" fontId="10" fillId="5" borderId="15" xfId="0" applyFont="1" applyFill="1" applyBorder="1"/>
    <xf numFmtId="0" fontId="1" fillId="5" borderId="0" xfId="0" applyFont="1" applyFill="1" applyBorder="1"/>
    <xf numFmtId="0" fontId="11" fillId="5" borderId="0" xfId="0" applyFont="1" applyFill="1" applyBorder="1"/>
    <xf numFmtId="166" fontId="16" fillId="5" borderId="6" xfId="0" applyNumberFormat="1" applyFont="1" applyFill="1" applyBorder="1"/>
    <xf numFmtId="0" fontId="10" fillId="5" borderId="16" xfId="0" applyFont="1" applyFill="1" applyBorder="1"/>
    <xf numFmtId="0" fontId="1" fillId="5" borderId="10" xfId="0" applyFont="1" applyFill="1" applyBorder="1"/>
    <xf numFmtId="0" fontId="11" fillId="5" borderId="10" xfId="0" applyFont="1" applyFill="1" applyBorder="1"/>
    <xf numFmtId="0" fontId="1" fillId="5" borderId="8" xfId="0" applyFont="1" applyFill="1" applyBorder="1"/>
    <xf numFmtId="0" fontId="10" fillId="5" borderId="0" xfId="0" applyFont="1" applyFill="1" applyBorder="1"/>
    <xf numFmtId="0" fontId="1" fillId="5" borderId="14" xfId="0" applyFont="1" applyFill="1" applyBorder="1"/>
    <xf numFmtId="0" fontId="1" fillId="5" borderId="12" xfId="0" applyFont="1" applyFill="1" applyBorder="1"/>
    <xf numFmtId="2" fontId="16" fillId="2" borderId="6" xfId="0" applyNumberFormat="1" applyFont="1" applyFill="1" applyBorder="1"/>
    <xf numFmtId="0" fontId="3" fillId="0" borderId="0" xfId="0" applyFont="1" applyFill="1"/>
    <xf numFmtId="164" fontId="11" fillId="0" borderId="0" xfId="0" applyNumberFormat="1" applyFont="1" applyFill="1"/>
    <xf numFmtId="0" fontId="3" fillId="5" borderId="0" xfId="0" applyFont="1" applyFill="1"/>
    <xf numFmtId="0" fontId="1" fillId="5" borderId="0" xfId="0" applyFont="1" applyFill="1"/>
    <xf numFmtId="165" fontId="1" fillId="0" borderId="0" xfId="0" applyNumberFormat="1" applyFont="1"/>
    <xf numFmtId="0" fontId="10" fillId="2" borderId="0" xfId="0" applyFont="1" applyFill="1"/>
    <xf numFmtId="167" fontId="10" fillId="0" borderId="0" xfId="0" applyNumberFormat="1" applyFont="1"/>
    <xf numFmtId="2" fontId="11" fillId="5" borderId="0" xfId="0" applyNumberFormat="1" applyFont="1" applyFill="1" applyProtection="1">
      <protection hidden="1"/>
    </xf>
    <xf numFmtId="165" fontId="11" fillId="5" borderId="0" xfId="0" applyNumberFormat="1" applyFont="1" applyFill="1" applyProtection="1">
      <protection hidden="1"/>
    </xf>
    <xf numFmtId="164" fontId="11" fillId="5" borderId="0" xfId="0" applyNumberFormat="1" applyFont="1" applyFill="1" applyProtection="1">
      <protection hidden="1"/>
    </xf>
    <xf numFmtId="166" fontId="15" fillId="5" borderId="13" xfId="0" applyNumberFormat="1" applyFont="1" applyFill="1" applyBorder="1" applyProtection="1">
      <protection hidden="1"/>
    </xf>
    <xf numFmtId="165" fontId="11" fillId="2" borderId="0" xfId="0" applyNumberFormat="1" applyFont="1" applyFill="1" applyProtection="1">
      <protection hidden="1"/>
    </xf>
    <xf numFmtId="164" fontId="11" fillId="2" borderId="0" xfId="0" applyNumberFormat="1" applyFont="1" applyFill="1" applyProtection="1">
      <protection hidden="1"/>
    </xf>
    <xf numFmtId="164" fontId="1" fillId="0" borderId="0" xfId="0" applyNumberFormat="1" applyFont="1" applyProtection="1">
      <protection hidden="1"/>
    </xf>
    <xf numFmtId="1" fontId="11" fillId="2" borderId="0" xfId="0" applyNumberFormat="1" applyFont="1" applyFill="1" applyProtection="1">
      <protection hidden="1"/>
    </xf>
    <xf numFmtId="2" fontId="11" fillId="2" borderId="0" xfId="0" applyNumberFormat="1" applyFont="1" applyFill="1" applyProtection="1">
      <protection hidden="1"/>
    </xf>
    <xf numFmtId="167" fontId="11" fillId="2" borderId="0" xfId="0" applyNumberFormat="1" applyFont="1" applyFill="1" applyProtection="1">
      <protection hidden="1"/>
    </xf>
    <xf numFmtId="164" fontId="11" fillId="2" borderId="1" xfId="0" applyNumberFormat="1" applyFont="1" applyFill="1" applyBorder="1" applyProtection="1">
      <protection hidden="1"/>
    </xf>
    <xf numFmtId="1" fontId="11" fillId="2" borderId="1" xfId="0" applyNumberFormat="1" applyFont="1" applyFill="1" applyBorder="1" applyProtection="1">
      <protection hidden="1"/>
    </xf>
    <xf numFmtId="165" fontId="3" fillId="0" borderId="6" xfId="0" applyNumberFormat="1" applyFont="1" applyFill="1" applyBorder="1"/>
    <xf numFmtId="0" fontId="3" fillId="5" borderId="5" xfId="0" applyFont="1" applyFill="1" applyBorder="1"/>
    <xf numFmtId="0" fontId="1" fillId="5" borderId="6" xfId="0" applyFont="1" applyFill="1" applyBorder="1"/>
    <xf numFmtId="0" fontId="3" fillId="5" borderId="1" xfId="0" applyFont="1" applyFill="1" applyBorder="1"/>
    <xf numFmtId="0" fontId="3" fillId="5" borderId="7" xfId="0" applyFont="1" applyFill="1" applyBorder="1"/>
    <xf numFmtId="0" fontId="1" fillId="5" borderId="9" xfId="0" applyFont="1" applyFill="1" applyBorder="1"/>
    <xf numFmtId="0" fontId="10" fillId="5" borderId="1" xfId="0" applyFont="1" applyFill="1" applyBorder="1"/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3" fillId="0" borderId="2" xfId="0" applyFont="1" applyBorder="1"/>
    <xf numFmtId="0" fontId="1" fillId="0" borderId="3" xfId="0" applyFont="1" applyBorder="1"/>
    <xf numFmtId="0" fontId="1" fillId="0" borderId="4" xfId="0" applyFont="1" applyFill="1" applyBorder="1"/>
    <xf numFmtId="0" fontId="10" fillId="5" borderId="6" xfId="0" applyFont="1" applyFill="1" applyBorder="1"/>
    <xf numFmtId="0" fontId="1" fillId="6" borderId="15" xfId="0" applyFont="1" applyFill="1" applyBorder="1"/>
    <xf numFmtId="0" fontId="1" fillId="6" borderId="0" xfId="0" applyFont="1" applyFill="1" applyBorder="1"/>
    <xf numFmtId="0" fontId="11" fillId="6" borderId="1" xfId="0" applyFont="1" applyFill="1" applyBorder="1" applyProtection="1">
      <protection hidden="1"/>
    </xf>
    <xf numFmtId="165" fontId="20" fillId="5" borderId="9" xfId="0" applyNumberFormat="1" applyFont="1" applyFill="1" applyBorder="1"/>
    <xf numFmtId="0" fontId="19" fillId="0" borderId="0" xfId="1" applyFont="1" applyAlignment="1" applyProtection="1"/>
    <xf numFmtId="0" fontId="0" fillId="0" borderId="0" xfId="0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BackColor" ax:value="65280"/>
  <ax:ocxPr ax:name="Caption" ax:value="Расчитать Pзаб     "/>
  <ax:ocxPr ax:name="Size" ax:value="7461;873"/>
  <ax:ocxPr ax:name="FontName" ax:value="Times New Roman"/>
  <ax:ocxPr ax:name="FontHeight" ax:value="285"/>
  <ax:ocxPr ax:name="FontCharSet" ax:value="204"/>
  <ax:ocxPr ax:name="FontPitchAndFamily" ax:value="2"/>
  <ax:ocxPr ax:name="ParagraphAlign" ax:value="3"/>
</ax:ocx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70</xdr:row>
      <xdr:rowOff>0</xdr:rowOff>
    </xdr:from>
    <xdr:to>
      <xdr:col>3</xdr:col>
      <xdr:colOff>1001269</xdr:colOff>
      <xdr:row>70</xdr:row>
      <xdr:rowOff>235220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56871" b="31403"/>
        <a:stretch>
          <a:fillRect/>
        </a:stretch>
      </xdr:blipFill>
      <xdr:spPr bwMode="auto">
        <a:xfrm>
          <a:off x="28575" y="17773650"/>
          <a:ext cx="2842769" cy="23522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28574</xdr:colOff>
      <xdr:row>11</xdr:row>
      <xdr:rowOff>228600</xdr:rowOff>
    </xdr:from>
    <xdr:to>
      <xdr:col>3</xdr:col>
      <xdr:colOff>857249</xdr:colOff>
      <xdr:row>12</xdr:row>
      <xdr:rowOff>257175</xdr:rowOff>
    </xdr:to>
    <xdr:sp macro="" textlink="">
      <xdr:nvSpPr>
        <xdr:cNvPr id="3" name="TextBox 2"/>
        <xdr:cNvSpPr txBox="1"/>
      </xdr:nvSpPr>
      <xdr:spPr>
        <a:xfrm>
          <a:off x="28574" y="3086100"/>
          <a:ext cx="2543175" cy="3238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/>
            <a:t>упрощенная методика </a:t>
          </a:r>
          <a:r>
            <a:rPr lang="ru-RU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Ю.П.Желтова</a:t>
          </a:r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14</xdr:col>
      <xdr:colOff>404959</xdr:colOff>
      <xdr:row>26</xdr:row>
      <xdr:rowOff>165614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21077" t="19212" r="28842" b="12462"/>
        <a:stretch>
          <a:fillRect/>
        </a:stretch>
      </xdr:blipFill>
      <xdr:spPr bwMode="auto">
        <a:xfrm>
          <a:off x="2438400" y="381000"/>
          <a:ext cx="6500959" cy="473761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eftvnb.ru/text/biblioteka/grp_02.pdf" TargetMode="External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B1:P124"/>
  <sheetViews>
    <sheetView showGridLines="0" tabSelected="1" zoomScale="75" zoomScaleNormal="75" workbookViewId="0">
      <selection activeCell="J12" sqref="J12"/>
    </sheetView>
  </sheetViews>
  <sheetFormatPr defaultRowHeight="15"/>
  <cols>
    <col min="1" max="1" width="0.42578125" style="12" customWidth="1"/>
    <col min="2" max="2" width="16.140625" style="12" bestFit="1" customWidth="1"/>
    <col min="3" max="3" width="11.42578125" style="12" customWidth="1"/>
    <col min="4" max="4" width="15.85546875" style="12" customWidth="1"/>
    <col min="5" max="5" width="14.42578125" style="12" bestFit="1" customWidth="1"/>
    <col min="6" max="8" width="9.140625" style="12"/>
    <col min="9" max="9" width="10.42578125" style="12" customWidth="1"/>
    <col min="10" max="10" width="14.28515625" style="12" customWidth="1"/>
    <col min="11" max="11" width="1.28515625" style="12" customWidth="1"/>
    <col min="12" max="12" width="52.28515625" style="12" customWidth="1"/>
    <col min="13" max="13" width="6.140625" style="12" customWidth="1"/>
    <col min="14" max="14" width="7.28515625" style="12" customWidth="1"/>
    <col min="15" max="15" width="15.28515625" style="13" customWidth="1"/>
    <col min="16" max="16384" width="9.140625" style="12"/>
  </cols>
  <sheetData>
    <row r="1" spans="2:16" ht="22.5">
      <c r="B1" s="2" t="s">
        <v>63</v>
      </c>
      <c r="G1" s="23"/>
      <c r="H1"/>
    </row>
    <row r="2" spans="2:16" ht="18.75">
      <c r="B2" s="3" t="s">
        <v>12</v>
      </c>
      <c r="C2" s="1"/>
      <c r="D2" s="1"/>
      <c r="E2" s="1"/>
      <c r="F2" s="1"/>
      <c r="G2" s="1"/>
      <c r="H2" s="1"/>
      <c r="I2" s="1"/>
      <c r="J2" s="1"/>
      <c r="K2" s="1"/>
    </row>
    <row r="3" spans="2:16" ht="24" thickBot="1">
      <c r="B3" s="4" t="s">
        <v>64</v>
      </c>
      <c r="C3" s="4"/>
      <c r="D3" s="4"/>
      <c r="E3" s="4"/>
      <c r="F3" s="4"/>
      <c r="G3" s="4"/>
      <c r="H3" s="4"/>
      <c r="I3" s="4"/>
      <c r="J3" s="1"/>
      <c r="K3" s="1"/>
      <c r="L3" s="75" t="s">
        <v>131</v>
      </c>
      <c r="M3" s="76"/>
      <c r="N3" s="76"/>
      <c r="O3" s="76"/>
      <c r="P3" s="76"/>
    </row>
    <row r="4" spans="2:16" ht="23.25" thickBot="1">
      <c r="B4" s="8" t="s">
        <v>122</v>
      </c>
      <c r="C4" s="14"/>
      <c r="D4" s="14"/>
      <c r="E4" s="14"/>
      <c r="F4" s="14"/>
      <c r="G4" s="14"/>
      <c r="H4" s="14"/>
      <c r="I4" s="14"/>
      <c r="J4" s="45">
        <f>$O$15*$O$30*$O$5*10^-6</f>
        <v>64.584135000000003</v>
      </c>
      <c r="K4" s="1"/>
      <c r="L4" s="64" t="s">
        <v>57</v>
      </c>
      <c r="M4" s="65"/>
      <c r="N4" s="65"/>
      <c r="O4" s="66"/>
    </row>
    <row r="5" spans="2:16" ht="18.75">
      <c r="B5" s="1"/>
      <c r="D5" s="1"/>
      <c r="E5" s="1"/>
      <c r="G5" s="1"/>
      <c r="H5" s="1"/>
      <c r="I5" s="1"/>
      <c r="J5" s="1"/>
      <c r="K5" s="1"/>
      <c r="L5" s="67" t="s">
        <v>4</v>
      </c>
      <c r="M5" s="68" t="s">
        <v>7</v>
      </c>
      <c r="N5" s="68" t="s">
        <v>0</v>
      </c>
      <c r="O5" s="69">
        <v>2850</v>
      </c>
    </row>
    <row r="6" spans="2:16" ht="18.75">
      <c r="B6" s="3" t="s">
        <v>13</v>
      </c>
      <c r="C6" s="1"/>
      <c r="D6" s="1"/>
      <c r="E6" s="1"/>
      <c r="F6" s="1"/>
      <c r="G6" s="1"/>
      <c r="H6" s="1"/>
      <c r="I6" s="1"/>
      <c r="J6" s="1"/>
      <c r="K6" s="1"/>
      <c r="L6" s="5" t="s">
        <v>128</v>
      </c>
      <c r="M6" s="6"/>
      <c r="N6" s="6"/>
      <c r="O6" s="7"/>
    </row>
    <row r="7" spans="2:16" ht="20.25">
      <c r="B7" s="4" t="s">
        <v>31</v>
      </c>
      <c r="C7" s="4"/>
      <c r="D7" s="4"/>
      <c r="E7" s="4"/>
      <c r="F7" s="4"/>
      <c r="G7" s="4"/>
      <c r="H7" s="4"/>
      <c r="I7" s="4"/>
      <c r="J7" s="1"/>
      <c r="K7" s="1"/>
      <c r="L7" s="5" t="s">
        <v>116</v>
      </c>
      <c r="M7" s="6" t="s">
        <v>120</v>
      </c>
      <c r="N7" s="6" t="s">
        <v>0</v>
      </c>
      <c r="O7" s="7">
        <v>7.4999999999999997E-2</v>
      </c>
    </row>
    <row r="8" spans="2:16" ht="18.75">
      <c r="B8" s="8" t="s">
        <v>89</v>
      </c>
      <c r="C8" s="14"/>
      <c r="D8" s="14"/>
      <c r="E8" s="14"/>
      <c r="F8" s="14"/>
      <c r="G8" s="14"/>
      <c r="H8" s="14"/>
      <c r="I8" s="14"/>
      <c r="J8" s="46">
        <f>$J$4*$O$13/(1-$O$13)</f>
        <v>24.240146391830557</v>
      </c>
      <c r="K8" s="1"/>
      <c r="L8" s="5" t="s">
        <v>115</v>
      </c>
      <c r="M8" s="6" t="s">
        <v>119</v>
      </c>
      <c r="N8" s="6" t="s">
        <v>0</v>
      </c>
      <c r="O8" s="7">
        <v>1500</v>
      </c>
    </row>
    <row r="9" spans="2:16" ht="23.25">
      <c r="B9" s="3" t="s">
        <v>14</v>
      </c>
      <c r="C9" s="1"/>
      <c r="D9" s="1"/>
      <c r="E9" s="1"/>
      <c r="F9" s="1"/>
      <c r="G9" s="1"/>
      <c r="H9" s="1"/>
      <c r="I9" s="1"/>
      <c r="J9"/>
      <c r="K9" s="1"/>
      <c r="L9" s="58" t="s">
        <v>34</v>
      </c>
      <c r="M9" s="24" t="s">
        <v>68</v>
      </c>
      <c r="N9" s="24" t="s">
        <v>88</v>
      </c>
      <c r="O9" s="59">
        <v>7.5999999999999998E-2</v>
      </c>
    </row>
    <row r="10" spans="2:16" ht="18.75">
      <c r="B10" s="4" t="s">
        <v>79</v>
      </c>
      <c r="C10" s="4"/>
      <c r="D10" s="15"/>
      <c r="E10" s="15"/>
      <c r="F10" s="15"/>
      <c r="G10" s="15"/>
      <c r="H10" s="15"/>
      <c r="I10" s="15"/>
      <c r="J10" s="1"/>
      <c r="K10" s="1"/>
      <c r="L10" s="5" t="s">
        <v>26</v>
      </c>
      <c r="M10" s="6" t="s">
        <v>50</v>
      </c>
      <c r="N10" s="6" t="s">
        <v>0</v>
      </c>
      <c r="O10" s="7">
        <v>12.9</v>
      </c>
    </row>
    <row r="11" spans="2:16" ht="18.75">
      <c r="B11" s="40" t="s">
        <v>134</v>
      </c>
      <c r="C11" s="41"/>
      <c r="D11" s="41"/>
      <c r="E11" s="41"/>
      <c r="F11" s="41"/>
      <c r="G11" s="41"/>
      <c r="H11" s="41"/>
      <c r="I11" s="41"/>
      <c r="J11" s="47">
        <f>$J$4-$O$24+$O$22</f>
        <v>37.584135000000003</v>
      </c>
      <c r="K11" s="1"/>
      <c r="L11" s="5" t="s">
        <v>117</v>
      </c>
      <c r="M11" s="6"/>
      <c r="N11" s="6" t="s">
        <v>118</v>
      </c>
      <c r="O11" s="7">
        <v>4.7000000000000002E-3</v>
      </c>
    </row>
    <row r="12" spans="2:16" ht="22.5">
      <c r="B12" s="38"/>
      <c r="C12" s="16"/>
      <c r="D12" s="16"/>
      <c r="E12" s="16"/>
      <c r="F12" s="16"/>
      <c r="G12" s="16"/>
      <c r="H12" s="16"/>
      <c r="I12" s="16"/>
      <c r="J12" s="39"/>
      <c r="K12" s="1"/>
      <c r="L12" s="5" t="s">
        <v>110</v>
      </c>
      <c r="M12" s="6" t="s">
        <v>132</v>
      </c>
      <c r="N12" s="6"/>
      <c r="O12" s="7" t="s">
        <v>111</v>
      </c>
    </row>
    <row r="13" spans="2:16" ht="19.5" thickBot="1">
      <c r="K13" s="1"/>
      <c r="L13" s="5" t="s">
        <v>27</v>
      </c>
      <c r="M13" s="6" t="s">
        <v>133</v>
      </c>
      <c r="N13" s="6"/>
      <c r="O13" s="7">
        <v>0.27289999999999998</v>
      </c>
    </row>
    <row r="14" spans="2:16" ht="18.75">
      <c r="B14" s="35" t="s">
        <v>91</v>
      </c>
      <c r="C14" s="25"/>
      <c r="D14" s="25"/>
      <c r="E14" s="25"/>
      <c r="F14" s="25"/>
      <c r="G14" s="25"/>
      <c r="H14" s="25"/>
      <c r="I14" s="25"/>
      <c r="J14" s="36"/>
      <c r="K14" s="1"/>
      <c r="L14" s="58" t="s">
        <v>129</v>
      </c>
      <c r="M14" s="63"/>
      <c r="N14" s="63"/>
      <c r="O14" s="70"/>
    </row>
    <row r="15" spans="2:16" ht="23.25">
      <c r="B15" s="71" t="s">
        <v>135</v>
      </c>
      <c r="C15" s="72"/>
      <c r="D15" s="34" t="s">
        <v>90</v>
      </c>
      <c r="E15" s="34"/>
      <c r="F15" s="27"/>
      <c r="G15" s="27"/>
      <c r="H15" s="27"/>
      <c r="I15" s="27"/>
      <c r="J15" s="48">
        <f>5.25*(1.265*10^11)^2*$O$19*0.2/((1-$O$13^2)^2*($J$8*10^6)^3*$O$21)</f>
        <v>2.1744800457032497E-3</v>
      </c>
      <c r="K15" s="1"/>
      <c r="L15" s="5" t="s">
        <v>5</v>
      </c>
      <c r="M15" s="6" t="s">
        <v>66</v>
      </c>
      <c r="N15" s="6" t="s">
        <v>67</v>
      </c>
      <c r="O15" s="7">
        <v>2310</v>
      </c>
    </row>
    <row r="16" spans="2:16" ht="23.25">
      <c r="B16" s="26"/>
      <c r="C16" s="27"/>
      <c r="D16" s="28"/>
      <c r="E16" s="27"/>
      <c r="F16" s="27"/>
      <c r="G16" s="27"/>
      <c r="H16" s="27"/>
      <c r="I16" s="73">
        <f>J17/J18*(J17/J18-1)^3</f>
        <v>2.8124867179989744E-3</v>
      </c>
      <c r="J16" s="29">
        <v>2.1744800457032497E-3</v>
      </c>
      <c r="K16" s="1"/>
      <c r="L16" s="5" t="s">
        <v>29</v>
      </c>
      <c r="M16" s="6" t="s">
        <v>72</v>
      </c>
      <c r="N16" s="6" t="s">
        <v>67</v>
      </c>
      <c r="O16" s="7">
        <v>930</v>
      </c>
    </row>
    <row r="17" spans="2:15" ht="18.75">
      <c r="B17" s="26"/>
      <c r="C17" s="27"/>
      <c r="D17" s="28"/>
      <c r="E17" s="27"/>
      <c r="F17" s="27"/>
      <c r="G17" s="27"/>
      <c r="H17" s="27"/>
      <c r="I17" s="24" t="s">
        <v>92</v>
      </c>
      <c r="J17" s="37">
        <v>27.520047513445419</v>
      </c>
      <c r="K17" s="1"/>
      <c r="L17" s="5" t="s">
        <v>52</v>
      </c>
      <c r="M17" s="6" t="s">
        <v>33</v>
      </c>
      <c r="N17" s="6" t="s">
        <v>32</v>
      </c>
      <c r="O17" s="7">
        <v>0.2</v>
      </c>
    </row>
    <row r="18" spans="2:15" ht="19.5" thickBot="1">
      <c r="B18" s="30"/>
      <c r="C18" s="31"/>
      <c r="D18" s="32"/>
      <c r="E18" s="31"/>
      <c r="F18" s="31"/>
      <c r="G18" s="31"/>
      <c r="H18" s="31"/>
      <c r="I18" s="33" t="s">
        <v>93</v>
      </c>
      <c r="J18" s="74">
        <f>J8</f>
        <v>24.240146391830557</v>
      </c>
      <c r="K18" s="1"/>
      <c r="L18" s="5" t="s">
        <v>28</v>
      </c>
      <c r="M18" s="9" t="s">
        <v>2</v>
      </c>
      <c r="N18" s="6" t="s">
        <v>51</v>
      </c>
      <c r="O18" s="7">
        <v>275</v>
      </c>
    </row>
    <row r="19" spans="2:15" ht="22.5">
      <c r="B19" s="3" t="s">
        <v>15</v>
      </c>
      <c r="C19" s="1"/>
      <c r="D19" s="1"/>
      <c r="E19" s="1"/>
      <c r="F19" s="1"/>
      <c r="G19" s="1"/>
      <c r="H19" s="1"/>
      <c r="I19" s="1"/>
      <c r="J19" s="1">
        <f>22/$J$8*(22/$J$8-1)^3</f>
        <v>-7.1632635143168083E-4</v>
      </c>
      <c r="K19" s="1"/>
      <c r="L19" s="5" t="s">
        <v>9</v>
      </c>
      <c r="M19" s="6" t="s">
        <v>1</v>
      </c>
      <c r="N19" s="6" t="s">
        <v>69</v>
      </c>
      <c r="O19" s="57">
        <v>1.2E-2</v>
      </c>
    </row>
    <row r="20" spans="2:15" ht="20.25">
      <c r="B20" s="4" t="s">
        <v>71</v>
      </c>
      <c r="C20" s="15"/>
      <c r="D20" s="15"/>
      <c r="E20" s="15"/>
      <c r="F20" s="15"/>
      <c r="G20" s="15"/>
      <c r="H20" s="15"/>
      <c r="I20" s="15"/>
      <c r="J20" s="1"/>
      <c r="K20" s="1"/>
      <c r="L20" s="58" t="s">
        <v>130</v>
      </c>
      <c r="M20" s="63"/>
      <c r="N20" s="63"/>
      <c r="O20" s="70"/>
    </row>
    <row r="21" spans="2:15" ht="20.25">
      <c r="B21" s="8" t="s">
        <v>95</v>
      </c>
      <c r="C21" s="14"/>
      <c r="D21" s="14"/>
      <c r="E21" s="14"/>
      <c r="F21" s="14"/>
      <c r="G21" s="14"/>
      <c r="H21" s="14"/>
      <c r="I21" s="14"/>
      <c r="J21" s="49">
        <f>$O$18/$O$15/($O$18/$O$15+1)</f>
        <v>0.10638297872340424</v>
      </c>
      <c r="K21" s="1"/>
      <c r="L21" s="5" t="s">
        <v>107</v>
      </c>
      <c r="M21" s="9" t="s">
        <v>74</v>
      </c>
      <c r="N21" s="6" t="s">
        <v>30</v>
      </c>
      <c r="O21" s="7">
        <v>7.6</v>
      </c>
    </row>
    <row r="22" spans="2:15" ht="18.75">
      <c r="B22" s="1"/>
      <c r="C22" s="1"/>
      <c r="D22" s="1"/>
      <c r="E22" s="1"/>
      <c r="F22" s="1"/>
      <c r="G22" s="1"/>
      <c r="H22" s="1"/>
      <c r="I22" s="1"/>
      <c r="J22" s="1"/>
      <c r="K22" s="1"/>
      <c r="L22" s="58" t="s">
        <v>61</v>
      </c>
      <c r="M22" s="24" t="s">
        <v>62</v>
      </c>
      <c r="N22" s="24" t="s">
        <v>6</v>
      </c>
      <c r="O22" s="59">
        <v>1.5</v>
      </c>
    </row>
    <row r="23" spans="2:15" ht="23.25">
      <c r="B23" s="3" t="s">
        <v>16</v>
      </c>
      <c r="C23" s="1"/>
      <c r="D23" s="1"/>
      <c r="E23" s="1"/>
      <c r="F23" s="1"/>
      <c r="G23" s="1"/>
      <c r="H23" s="1"/>
      <c r="I23" s="1"/>
      <c r="J23" s="1"/>
      <c r="K23" s="1"/>
      <c r="L23" s="58" t="s">
        <v>43</v>
      </c>
      <c r="M23" s="24" t="s">
        <v>70</v>
      </c>
      <c r="N23" s="24" t="s">
        <v>67</v>
      </c>
      <c r="O23" s="59">
        <v>2500</v>
      </c>
    </row>
    <row r="24" spans="2:15" ht="20.25">
      <c r="B24" s="4" t="s">
        <v>73</v>
      </c>
      <c r="C24" s="15"/>
      <c r="D24" s="15"/>
      <c r="E24" s="15"/>
      <c r="F24" s="15"/>
      <c r="G24" s="15"/>
      <c r="H24" s="15"/>
      <c r="I24" s="15"/>
      <c r="J24" s="1"/>
      <c r="K24" s="1"/>
      <c r="L24" s="58" t="s">
        <v>59</v>
      </c>
      <c r="M24" s="24" t="s">
        <v>60</v>
      </c>
      <c r="N24" s="24" t="s">
        <v>6</v>
      </c>
      <c r="O24" s="59">
        <v>28.5</v>
      </c>
    </row>
    <row r="25" spans="2:15" ht="20.25">
      <c r="B25" s="8" t="s">
        <v>94</v>
      </c>
      <c r="C25" s="14"/>
      <c r="D25" s="14"/>
      <c r="E25" s="14"/>
      <c r="F25" s="14"/>
      <c r="G25" s="14"/>
      <c r="H25" s="14"/>
      <c r="I25" s="14"/>
      <c r="J25" s="50">
        <f>$O$16*(1-$J$21)+$O$15*$J$21</f>
        <v>1076.8085106382978</v>
      </c>
      <c r="K25" s="1"/>
      <c r="L25" s="58" t="s">
        <v>11</v>
      </c>
      <c r="M25" s="24" t="s">
        <v>10</v>
      </c>
      <c r="N25" s="24"/>
      <c r="O25" s="59">
        <v>2.718</v>
      </c>
    </row>
    <row r="26" spans="2:15" ht="18.75">
      <c r="B26" s="1"/>
      <c r="C26" s="1"/>
      <c r="D26" s="1"/>
      <c r="E26" s="1"/>
      <c r="F26" s="1"/>
      <c r="G26" s="1"/>
      <c r="H26" s="1"/>
      <c r="I26" s="1"/>
      <c r="J26" s="1"/>
      <c r="K26" s="1"/>
      <c r="L26" s="58" t="s">
        <v>37</v>
      </c>
      <c r="M26" s="60" t="s">
        <v>38</v>
      </c>
      <c r="N26" s="24"/>
      <c r="O26" s="59">
        <v>0.8</v>
      </c>
    </row>
    <row r="27" spans="2:15" ht="18.75">
      <c r="B27" s="3" t="s">
        <v>17</v>
      </c>
      <c r="C27" s="1"/>
      <c r="D27" s="1"/>
      <c r="E27" s="1"/>
      <c r="F27" s="1"/>
      <c r="G27" s="1"/>
      <c r="H27" s="1"/>
      <c r="I27" s="1"/>
      <c r="J27" s="1"/>
      <c r="K27" s="1"/>
      <c r="L27" s="58" t="s">
        <v>41</v>
      </c>
      <c r="M27" s="24" t="s">
        <v>39</v>
      </c>
      <c r="N27" s="24" t="s">
        <v>6</v>
      </c>
      <c r="O27" s="59">
        <v>29</v>
      </c>
    </row>
    <row r="28" spans="2:15" ht="23.25">
      <c r="B28" s="4" t="s">
        <v>75</v>
      </c>
      <c r="C28" s="15"/>
      <c r="D28" s="15"/>
      <c r="E28" s="15"/>
      <c r="F28" s="15"/>
      <c r="G28" s="15"/>
      <c r="H28" s="15"/>
      <c r="I28" s="15"/>
      <c r="J28" s="1"/>
      <c r="K28" s="1"/>
      <c r="L28" s="58" t="s">
        <v>42</v>
      </c>
      <c r="M28" s="24" t="s">
        <v>40</v>
      </c>
      <c r="N28" s="24" t="s">
        <v>49</v>
      </c>
      <c r="O28" s="59">
        <v>1.46E-2</v>
      </c>
    </row>
    <row r="29" spans="2:15" ht="23.25">
      <c r="B29" s="8" t="s">
        <v>96</v>
      </c>
      <c r="C29" s="14"/>
      <c r="D29" s="14"/>
      <c r="E29" s="14"/>
      <c r="F29" s="14"/>
      <c r="G29" s="14"/>
      <c r="H29" s="14"/>
      <c r="I29" s="14"/>
      <c r="J29" s="49">
        <f>$O$17*$O$25^(3.18*$J$21)</f>
        <v>0.28050180579676909</v>
      </c>
      <c r="K29" s="1"/>
      <c r="L29" s="58" t="s">
        <v>58</v>
      </c>
      <c r="M29" s="24"/>
      <c r="N29" s="24"/>
      <c r="O29" s="59">
        <v>1.6</v>
      </c>
    </row>
    <row r="30" spans="2:15" ht="23.25" thickBot="1">
      <c r="B30" s="42"/>
      <c r="C30" s="1"/>
      <c r="D30" s="1"/>
      <c r="E30" s="1"/>
      <c r="F30" s="1"/>
      <c r="G30" s="1"/>
      <c r="H30" s="1"/>
      <c r="I30" s="1"/>
      <c r="J30" s="1"/>
      <c r="K30" s="1"/>
      <c r="L30" s="61" t="s">
        <v>3</v>
      </c>
      <c r="M30" s="33" t="s">
        <v>8</v>
      </c>
      <c r="N30" s="33" t="s">
        <v>65</v>
      </c>
      <c r="O30" s="62">
        <v>9.81</v>
      </c>
    </row>
    <row r="31" spans="2:15" ht="18.75">
      <c r="B31" s="3" t="s">
        <v>18</v>
      </c>
      <c r="C31" s="1"/>
      <c r="D31" s="1"/>
      <c r="E31" s="1"/>
      <c r="F31" s="1"/>
      <c r="G31" s="1"/>
      <c r="H31" s="1"/>
      <c r="I31" s="1"/>
      <c r="J31" s="1"/>
      <c r="K31" s="1"/>
      <c r="O31" s="12"/>
    </row>
    <row r="32" spans="2:15" ht="20.25">
      <c r="B32" s="4" t="s">
        <v>76</v>
      </c>
      <c r="C32" s="15"/>
      <c r="D32" s="15"/>
      <c r="E32" s="15"/>
      <c r="F32" s="15"/>
      <c r="G32" s="15"/>
      <c r="H32" s="15"/>
      <c r="I32" s="15"/>
      <c r="J32" s="1"/>
      <c r="K32" s="1"/>
      <c r="O32" s="12"/>
    </row>
    <row r="33" spans="2:15" ht="18.75">
      <c r="B33" s="8" t="s">
        <v>97</v>
      </c>
      <c r="C33" s="14"/>
      <c r="D33" s="14"/>
      <c r="E33" s="14"/>
      <c r="F33" s="14"/>
      <c r="G33" s="14"/>
      <c r="H33" s="14"/>
      <c r="I33" s="14"/>
      <c r="J33" s="50">
        <f>4*$O$19*J25/(3.14*$O$9*$J$29)</f>
        <v>772.14846943993291</v>
      </c>
      <c r="K33" s="1"/>
      <c r="O33" s="12"/>
    </row>
    <row r="34" spans="2:15" ht="18.75">
      <c r="B34" s="51">
        <f>(4*0.012*1076.8)/(3.14*0.076*0.281)</f>
        <v>770.77340993983694</v>
      </c>
      <c r="C34" s="1"/>
      <c r="D34" s="1"/>
      <c r="E34" s="1"/>
      <c r="F34" s="1"/>
      <c r="G34" s="1"/>
      <c r="H34" s="1"/>
      <c r="I34" s="1"/>
      <c r="J34" s="1"/>
      <c r="K34" s="1"/>
      <c r="O34" s="12"/>
    </row>
    <row r="35" spans="2:15" ht="18.75">
      <c r="B35" s="3" t="s">
        <v>35</v>
      </c>
      <c r="C35" s="1"/>
      <c r="D35" s="1"/>
      <c r="E35" s="1"/>
      <c r="F35" s="1"/>
      <c r="G35" s="1"/>
      <c r="H35" s="1"/>
      <c r="I35" s="1"/>
      <c r="J35" s="1"/>
      <c r="K35" s="1"/>
      <c r="O35" s="12"/>
    </row>
    <row r="36" spans="2:15" ht="18.75">
      <c r="B36" s="4" t="s">
        <v>80</v>
      </c>
      <c r="C36" s="15"/>
      <c r="D36" s="15"/>
      <c r="E36" s="15"/>
      <c r="F36" s="15"/>
      <c r="G36" s="15"/>
      <c r="H36" s="15"/>
      <c r="I36" s="15"/>
      <c r="J36" s="1"/>
      <c r="K36" s="1"/>
      <c r="O36" s="12"/>
    </row>
    <row r="37" spans="2:15" ht="18.75">
      <c r="B37" s="8" t="s">
        <v>98</v>
      </c>
      <c r="C37" s="14"/>
      <c r="D37" s="14"/>
      <c r="E37" s="14"/>
      <c r="F37" s="14"/>
      <c r="G37" s="14"/>
      <c r="H37" s="14"/>
      <c r="I37" s="14"/>
      <c r="J37" s="49">
        <f>64/$J$33</f>
        <v>8.288561401464864E-2</v>
      </c>
      <c r="K37" s="1"/>
      <c r="L37" s="3"/>
      <c r="M37" s="1"/>
      <c r="N37" s="1"/>
      <c r="O37" s="16"/>
    </row>
    <row r="38" spans="2:15" ht="18.75">
      <c r="B38" s="1"/>
      <c r="C38" s="1"/>
      <c r="D38" s="3"/>
      <c r="E38" s="1"/>
      <c r="F38" s="1"/>
      <c r="G38" s="1"/>
      <c r="H38" s="1"/>
      <c r="I38" s="1"/>
      <c r="J38" s="1"/>
      <c r="K38" s="1"/>
      <c r="L38" s="1"/>
      <c r="M38" s="1"/>
      <c r="N38" s="1"/>
      <c r="O38" s="16"/>
    </row>
    <row r="39" spans="2:15" ht="18.75">
      <c r="B39" s="3" t="s">
        <v>19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6"/>
    </row>
    <row r="40" spans="2:15" ht="23.25">
      <c r="B40" s="10" t="s">
        <v>77</v>
      </c>
      <c r="C40" s="10"/>
      <c r="D40" s="10"/>
      <c r="E40" s="10"/>
      <c r="F40" s="10"/>
      <c r="G40" s="10"/>
      <c r="H40" s="10"/>
      <c r="I40" s="10"/>
      <c r="J40" s="1"/>
      <c r="K40" s="1"/>
      <c r="L40" s="1"/>
      <c r="M40" s="1"/>
      <c r="N40" s="1"/>
      <c r="O40" s="16"/>
    </row>
    <row r="41" spans="2:15" ht="22.5">
      <c r="B41" s="8" t="s">
        <v>99</v>
      </c>
      <c r="C41" s="14"/>
      <c r="D41" s="14"/>
      <c r="E41" s="14"/>
      <c r="F41" s="14"/>
      <c r="G41" s="14"/>
      <c r="H41" s="14"/>
      <c r="I41" s="14"/>
      <c r="J41" s="50">
        <f>8*$J$37*$O$19^2*$O$5*$J$25/(3.14^2*$O$9^5)*10^-6</f>
        <v>11.72162221271843</v>
      </c>
      <c r="K41" s="1"/>
      <c r="L41" s="1"/>
      <c r="M41" s="1"/>
      <c r="N41" s="1"/>
      <c r="O41" s="16"/>
    </row>
    <row r="42" spans="2:15" ht="18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 ht="18.75">
      <c r="B43" s="3" t="s">
        <v>47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18.75">
      <c r="B44" s="10"/>
      <c r="C44" s="10"/>
      <c r="D44" s="10"/>
      <c r="E44" s="10"/>
      <c r="F44" s="10"/>
      <c r="G44" s="10"/>
      <c r="H44" s="10"/>
      <c r="I44" s="10"/>
      <c r="J44" s="1"/>
      <c r="K44" s="1"/>
      <c r="L44" s="1"/>
      <c r="M44" s="1"/>
      <c r="N44" s="1"/>
      <c r="O44" s="1"/>
    </row>
    <row r="45" spans="2:15" ht="18.75">
      <c r="B45" s="8" t="s">
        <v>100</v>
      </c>
      <c r="C45" s="14"/>
      <c r="D45" s="14"/>
      <c r="E45" s="14"/>
      <c r="F45" s="14"/>
      <c r="G45" s="14"/>
      <c r="H45" s="14"/>
      <c r="I45" s="14"/>
      <c r="J45" s="50">
        <f>$J$41*1.52</f>
        <v>17.816865763332014</v>
      </c>
      <c r="K45" s="1"/>
      <c r="L45" s="1"/>
      <c r="M45" s="1"/>
      <c r="N45" s="1"/>
      <c r="O45" s="1"/>
    </row>
    <row r="46" spans="2:15" ht="18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18.75">
      <c r="B47" s="3" t="s">
        <v>48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3.25">
      <c r="B48" s="10" t="s">
        <v>101</v>
      </c>
      <c r="C48" s="10"/>
      <c r="D48" s="10"/>
      <c r="E48" s="10"/>
      <c r="F48" s="10"/>
      <c r="G48" s="10"/>
      <c r="H48" s="10"/>
      <c r="I48" s="10"/>
      <c r="J48" s="1"/>
      <c r="K48" s="1"/>
      <c r="L48" s="1"/>
      <c r="M48" s="1"/>
      <c r="N48" s="1"/>
      <c r="O48" s="1"/>
    </row>
    <row r="49" spans="2:15" ht="22.5">
      <c r="B49" s="8" t="s">
        <v>102</v>
      </c>
      <c r="C49" s="14"/>
      <c r="D49" s="14"/>
      <c r="E49" s="14"/>
      <c r="F49" s="14"/>
      <c r="G49" s="14"/>
      <c r="H49" s="14"/>
      <c r="I49" s="14"/>
      <c r="J49" s="50">
        <f>$J$17-($J$25*$O$30*$O$5)*10^-6+$J$45</f>
        <v>15.230962532096584</v>
      </c>
      <c r="K49" s="1"/>
      <c r="L49" s="1"/>
      <c r="M49" s="1"/>
      <c r="N49" s="1"/>
      <c r="O49" s="16"/>
    </row>
    <row r="50" spans="2:15" ht="18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6"/>
    </row>
    <row r="51" spans="2:15" ht="18.75">
      <c r="B51" s="3" t="s">
        <v>20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6"/>
    </row>
    <row r="52" spans="2:15" ht="18.75">
      <c r="B52" s="10" t="s">
        <v>36</v>
      </c>
      <c r="C52" s="10"/>
      <c r="D52" s="10"/>
      <c r="E52" s="10"/>
      <c r="F52" s="10"/>
      <c r="G52" s="10"/>
      <c r="H52" s="10"/>
      <c r="I52" s="10"/>
      <c r="J52" s="1"/>
      <c r="K52" s="1"/>
      <c r="L52" s="1"/>
      <c r="M52" s="1"/>
      <c r="N52" s="1"/>
      <c r="O52" s="16"/>
    </row>
    <row r="53" spans="2:15" ht="18.75">
      <c r="B53" s="8" t="s">
        <v>104</v>
      </c>
      <c r="C53" s="14"/>
      <c r="D53" s="14"/>
      <c r="E53" s="14"/>
      <c r="F53" s="14"/>
      <c r="G53" s="14"/>
      <c r="H53" s="14"/>
      <c r="I53" s="14"/>
      <c r="J53" s="50">
        <f>$J$49*$O$19/(29*0.0146*0.6)+1</f>
        <v>1.7194597322671981</v>
      </c>
      <c r="K53" s="1"/>
      <c r="L53" s="1"/>
      <c r="M53" s="1"/>
      <c r="N53" s="1"/>
      <c r="O53" s="16"/>
    </row>
    <row r="54" spans="2:15" ht="18.75">
      <c r="B54" s="11" t="s">
        <v>46</v>
      </c>
      <c r="C54" s="16"/>
      <c r="D54" s="16"/>
      <c r="E54" s="16"/>
      <c r="F54" s="16"/>
      <c r="G54" s="16"/>
      <c r="H54" s="16"/>
      <c r="I54" s="16"/>
      <c r="J54" s="17"/>
      <c r="K54" s="1"/>
      <c r="L54" s="1"/>
      <c r="M54" s="1"/>
      <c r="N54" s="1"/>
      <c r="O54" s="16"/>
    </row>
    <row r="55" spans="2:15" ht="23.25">
      <c r="B55" s="18" t="s">
        <v>81</v>
      </c>
      <c r="C55" s="16"/>
      <c r="D55" s="16"/>
      <c r="E55" s="16"/>
      <c r="F55" s="16"/>
      <c r="G55" s="16"/>
      <c r="H55" s="16"/>
      <c r="I55" s="16"/>
      <c r="J55" s="17"/>
      <c r="K55" s="1"/>
      <c r="L55" s="1"/>
      <c r="M55" s="1"/>
      <c r="N55" s="1"/>
      <c r="O55" s="16"/>
    </row>
    <row r="56" spans="2:15" ht="20.25">
      <c r="B56" s="18" t="s">
        <v>103</v>
      </c>
      <c r="C56" s="16"/>
      <c r="D56" s="16"/>
      <c r="E56" s="16"/>
      <c r="F56" s="16"/>
      <c r="G56" s="16"/>
      <c r="H56" s="16"/>
      <c r="I56" s="16"/>
      <c r="J56" s="17"/>
      <c r="K56" s="1"/>
      <c r="L56" s="1"/>
      <c r="M56" s="1"/>
      <c r="N56" s="1"/>
      <c r="O56" s="16"/>
    </row>
    <row r="57" spans="2:15" ht="18.75">
      <c r="B57" s="1"/>
      <c r="C57" s="1"/>
      <c r="D57" s="1"/>
      <c r="E57" s="1"/>
      <c r="F57" s="1"/>
      <c r="G57" s="1"/>
      <c r="H57" s="1"/>
      <c r="I57" s="1"/>
      <c r="J57" s="52">
        <f>ROUND(J53,1)</f>
        <v>1.7</v>
      </c>
      <c r="K57" s="1"/>
      <c r="L57" s="1"/>
      <c r="M57" s="1"/>
      <c r="N57" s="1"/>
      <c r="O57" s="16"/>
    </row>
    <row r="58" spans="2:15" ht="18.75">
      <c r="B58" s="3" t="s">
        <v>21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6"/>
    </row>
    <row r="59" spans="2:15" ht="22.5">
      <c r="B59" s="10" t="s">
        <v>78</v>
      </c>
      <c r="C59" s="10"/>
      <c r="D59" s="10"/>
      <c r="E59" s="10"/>
      <c r="F59" s="10"/>
      <c r="G59" s="10"/>
      <c r="H59" s="10"/>
      <c r="I59" s="10"/>
      <c r="J59" s="1"/>
      <c r="K59" s="1"/>
      <c r="L59" s="1"/>
      <c r="M59" s="1"/>
      <c r="N59" s="1"/>
      <c r="O59" s="16"/>
    </row>
    <row r="60" spans="2:15" ht="22.5">
      <c r="B60" s="8" t="s">
        <v>105</v>
      </c>
      <c r="C60" s="14"/>
      <c r="D60" s="14"/>
      <c r="E60" s="14"/>
      <c r="F60" s="14"/>
      <c r="G60" s="14"/>
      <c r="H60" s="14"/>
      <c r="I60" s="14"/>
      <c r="J60" s="53">
        <f>0.785*$O$9^2*$O$5</f>
        <v>12.922355999999999</v>
      </c>
      <c r="K60" s="1"/>
      <c r="L60" s="1"/>
      <c r="M60" s="1"/>
      <c r="N60" s="1"/>
      <c r="O60" s="16"/>
    </row>
    <row r="61" spans="2:15" ht="18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6"/>
    </row>
    <row r="62" spans="2:15" ht="18.75">
      <c r="B62" s="3" t="s">
        <v>22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6"/>
    </row>
    <row r="63" spans="2:15" ht="18.75">
      <c r="B63" s="10" t="s">
        <v>44</v>
      </c>
      <c r="C63" s="10"/>
      <c r="D63" s="10"/>
      <c r="E63" s="10"/>
      <c r="F63" s="10"/>
      <c r="G63" s="10"/>
      <c r="H63" s="10"/>
      <c r="I63" s="10"/>
      <c r="J63" s="1"/>
      <c r="K63" s="1"/>
      <c r="L63" s="1"/>
      <c r="M63" s="1"/>
      <c r="N63" s="1"/>
      <c r="O63" s="16"/>
    </row>
    <row r="64" spans="2:15" ht="18.75">
      <c r="B64" s="8" t="s">
        <v>106</v>
      </c>
      <c r="C64" s="14"/>
      <c r="D64" s="14"/>
      <c r="E64" s="14"/>
      <c r="F64" s="14"/>
      <c r="G64" s="14"/>
      <c r="H64" s="14"/>
      <c r="I64" s="14"/>
      <c r="J64" s="50">
        <f>(O$21*10^3)/$O$18</f>
        <v>27.636363636363637</v>
      </c>
      <c r="K64" s="1"/>
      <c r="L64" s="1"/>
      <c r="M64" s="1"/>
      <c r="N64" s="1"/>
      <c r="O64" s="16"/>
    </row>
    <row r="65" spans="2:15" ht="18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6"/>
    </row>
    <row r="66" spans="2:15" ht="18.75">
      <c r="B66" s="3" t="s">
        <v>23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6"/>
    </row>
    <row r="67" spans="2:15" ht="18.75">
      <c r="B67" s="10" t="s">
        <v>45</v>
      </c>
      <c r="C67" s="10"/>
      <c r="D67" s="10"/>
      <c r="E67" s="10"/>
      <c r="F67" s="10"/>
      <c r="G67" s="10"/>
      <c r="H67" s="10"/>
      <c r="I67" s="10"/>
      <c r="J67" s="1"/>
      <c r="K67" s="1"/>
      <c r="L67" s="1"/>
      <c r="M67" s="1"/>
      <c r="N67" s="1"/>
      <c r="O67" s="16"/>
    </row>
    <row r="68" spans="2:15" ht="18.75">
      <c r="B68" s="8" t="s">
        <v>108</v>
      </c>
      <c r="C68" s="14"/>
      <c r="D68" s="14"/>
      <c r="E68" s="14"/>
      <c r="F68" s="14"/>
      <c r="G68" s="14"/>
      <c r="H68" s="14"/>
      <c r="I68" s="14"/>
      <c r="J68" s="50">
        <f>((O21+$J$60)/(0.0146*60))</f>
        <v>23.427347031963468</v>
      </c>
      <c r="K68" s="1"/>
      <c r="L68" s="1"/>
      <c r="M68" s="1"/>
      <c r="N68" s="1"/>
      <c r="O68" s="16"/>
    </row>
    <row r="69" spans="2:15" ht="18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6"/>
    </row>
    <row r="70" spans="2:15" ht="18.75">
      <c r="B70" s="3" t="s">
        <v>24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6"/>
    </row>
    <row r="71" spans="2:15" ht="18.75">
      <c r="B71" s="10"/>
      <c r="C71" s="10"/>
      <c r="D71" s="10"/>
      <c r="E71" s="10"/>
      <c r="F71" s="10"/>
      <c r="G71" s="10"/>
      <c r="H71" s="10"/>
      <c r="I71" s="10"/>
      <c r="J71" s="1"/>
      <c r="K71" s="1"/>
      <c r="L71" s="1"/>
      <c r="M71" s="1"/>
      <c r="N71" s="1"/>
      <c r="O71" s="16"/>
    </row>
    <row r="72" spans="2:15" ht="18.75">
      <c r="B72" s="8" t="s">
        <v>123</v>
      </c>
      <c r="C72" s="14"/>
      <c r="D72" s="14"/>
      <c r="E72" s="14"/>
      <c r="F72" s="14"/>
      <c r="G72" s="14"/>
      <c r="H72" s="14"/>
      <c r="I72" s="14"/>
      <c r="J72" s="50">
        <f>($O$21*1.265*10^11/(5.6*(1-$O$13^2)*$O$10*($J$17-$J$8)*10^6))^0.5</f>
        <v>66.212288548445187</v>
      </c>
      <c r="K72" s="1"/>
      <c r="L72" s="1"/>
      <c r="M72" s="1"/>
      <c r="N72" s="1"/>
      <c r="O72" s="16"/>
    </row>
    <row r="73" spans="2:15" ht="18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6"/>
    </row>
    <row r="74" spans="2:15" ht="18.75">
      <c r="B74" s="3" t="s">
        <v>25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6"/>
    </row>
    <row r="75" spans="2:15" ht="22.5">
      <c r="B75" s="10" t="s">
        <v>82</v>
      </c>
      <c r="C75" s="10"/>
      <c r="D75" s="10"/>
      <c r="E75" s="10"/>
      <c r="F75" s="10"/>
      <c r="G75" s="10"/>
      <c r="H75" s="10"/>
      <c r="I75" s="10"/>
      <c r="J75" s="1"/>
      <c r="K75" s="1"/>
      <c r="L75" s="1"/>
      <c r="M75" s="1"/>
      <c r="N75" s="1"/>
      <c r="O75" s="16"/>
    </row>
    <row r="76" spans="2:15" ht="18.75">
      <c r="B76" s="8" t="s">
        <v>109</v>
      </c>
      <c r="C76" s="14"/>
      <c r="D76" s="14"/>
      <c r="E76" s="14"/>
      <c r="F76" s="14"/>
      <c r="G76" s="14"/>
      <c r="H76" s="14"/>
      <c r="I76" s="14"/>
      <c r="J76" s="49">
        <f>(4*(1-$O$13^2)*$J$72*((J17-$J$8)*10^6))/(1.265*10^11)</f>
        <v>6.3556101112414139E-3</v>
      </c>
      <c r="K76" s="1"/>
      <c r="L76" s="1"/>
      <c r="M76" s="1"/>
      <c r="N76" s="1"/>
      <c r="O76" s="16"/>
    </row>
    <row r="77" spans="2:15" ht="18.75">
      <c r="B77" s="4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6"/>
    </row>
    <row r="78" spans="2:15" ht="18.75">
      <c r="B78" s="3" t="s">
        <v>112</v>
      </c>
      <c r="J78" s="1"/>
      <c r="K78" s="1"/>
      <c r="L78" s="1"/>
      <c r="M78" s="1"/>
      <c r="N78" s="1"/>
      <c r="O78" s="16"/>
    </row>
    <row r="79" spans="2:15" ht="22.5">
      <c r="B79" s="10" t="s">
        <v>113</v>
      </c>
      <c r="C79" s="10"/>
      <c r="D79" s="10"/>
      <c r="E79" s="10"/>
      <c r="F79" s="10"/>
      <c r="G79" s="10"/>
      <c r="H79" s="10"/>
      <c r="I79" s="10"/>
      <c r="J79" s="1"/>
      <c r="K79" s="1"/>
      <c r="L79" s="1"/>
      <c r="M79" s="1"/>
      <c r="N79" s="1"/>
      <c r="O79" s="16"/>
    </row>
    <row r="80" spans="2:15" ht="22.5">
      <c r="B80" s="8" t="s">
        <v>114</v>
      </c>
      <c r="C80" s="43"/>
      <c r="D80" s="43"/>
      <c r="E80" s="43"/>
      <c r="F80" s="43"/>
      <c r="G80" s="43"/>
      <c r="H80" s="43"/>
      <c r="I80" s="43"/>
      <c r="J80" s="54">
        <f>$J$76^2/12</f>
        <v>3.3661483238428417E-6</v>
      </c>
      <c r="K80" s="1"/>
      <c r="L80" s="1"/>
      <c r="M80" s="1"/>
      <c r="N80" s="1"/>
      <c r="O80" s="16"/>
    </row>
    <row r="81" spans="2:15" ht="18.75">
      <c r="B81" s="3"/>
      <c r="J81" s="1"/>
      <c r="K81" s="1"/>
      <c r="L81" s="1"/>
      <c r="M81" s="1"/>
      <c r="N81" s="1"/>
      <c r="O81" s="16"/>
    </row>
    <row r="82" spans="2:15" ht="18.75">
      <c r="B82" s="3" t="s">
        <v>124</v>
      </c>
      <c r="D82" s="44"/>
      <c r="J82" s="1"/>
      <c r="K82" s="1"/>
    </row>
    <row r="83" spans="2:15" ht="20.25">
      <c r="B83" s="10" t="s">
        <v>127</v>
      </c>
      <c r="C83" s="10"/>
      <c r="D83" s="10"/>
      <c r="E83" s="10"/>
      <c r="F83" s="10"/>
      <c r="G83" s="10"/>
      <c r="H83" s="10"/>
      <c r="I83" s="10"/>
      <c r="J83" s="1"/>
      <c r="K83" s="1"/>
    </row>
    <row r="84" spans="2:15" ht="20.25">
      <c r="B84" s="8" t="s">
        <v>126</v>
      </c>
      <c r="C84" s="14"/>
      <c r="D84" s="14"/>
      <c r="E84" s="14"/>
      <c r="F84" s="14"/>
      <c r="G84" s="14"/>
      <c r="H84" s="14"/>
      <c r="I84" s="14"/>
      <c r="J84" s="50">
        <f>LN($O$8/0.075)/LN($O$8/($J$72/2))</f>
        <v>2.5969538932402569</v>
      </c>
      <c r="K84" s="1"/>
    </row>
    <row r="85" spans="2:15" ht="18.75">
      <c r="B85" s="1" t="s">
        <v>125</v>
      </c>
      <c r="C85" s="1"/>
      <c r="D85" s="1"/>
      <c r="E85" s="1"/>
      <c r="F85" s="1"/>
      <c r="G85" s="1"/>
      <c r="H85" s="1"/>
      <c r="I85" s="1"/>
      <c r="J85" s="1"/>
      <c r="K85" s="1"/>
    </row>
    <row r="86" spans="2:15" ht="18.75">
      <c r="C86" s="1"/>
      <c r="D86" s="1"/>
      <c r="E86" s="1"/>
      <c r="F86" s="1"/>
      <c r="G86" s="1"/>
      <c r="H86" s="1"/>
      <c r="I86" s="1"/>
      <c r="J86" s="1"/>
      <c r="K86" s="1"/>
    </row>
    <row r="87" spans="2:15" ht="18.75">
      <c r="B87" s="19" t="s">
        <v>83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6"/>
    </row>
    <row r="88" spans="2:15" ht="20.25">
      <c r="B88" s="20" t="s">
        <v>84</v>
      </c>
      <c r="C88" s="6"/>
      <c r="D88" s="6"/>
      <c r="E88" s="6"/>
      <c r="F88" s="21"/>
      <c r="G88" s="21"/>
      <c r="H88" s="55">
        <f>$J$17</f>
        <v>27.520047513445419</v>
      </c>
      <c r="I88" s="22" t="s">
        <v>6</v>
      </c>
      <c r="J88" s="1"/>
      <c r="K88" s="1"/>
      <c r="L88" s="1"/>
      <c r="M88" s="1"/>
      <c r="N88" s="1"/>
      <c r="O88" s="16"/>
    </row>
    <row r="89" spans="2:15" ht="20.25">
      <c r="B89" s="20" t="s">
        <v>85</v>
      </c>
      <c r="C89" s="6"/>
      <c r="D89" s="6"/>
      <c r="E89" s="6"/>
      <c r="F89" s="21"/>
      <c r="G89" s="21"/>
      <c r="H89" s="55">
        <f>J49</f>
        <v>15.230962532096584</v>
      </c>
      <c r="I89" s="22" t="s">
        <v>6</v>
      </c>
      <c r="J89" s="1"/>
      <c r="K89" s="1"/>
      <c r="L89" s="1"/>
      <c r="M89" s="1"/>
      <c r="N89" s="1"/>
      <c r="O89" s="16"/>
    </row>
    <row r="90" spans="2:15" ht="20.25">
      <c r="B90" s="20" t="s">
        <v>86</v>
      </c>
      <c r="C90" s="6"/>
      <c r="D90" s="6"/>
      <c r="E90" s="6"/>
      <c r="F90" s="21"/>
      <c r="G90" s="21"/>
      <c r="H90" s="55">
        <f>J60</f>
        <v>12.922355999999999</v>
      </c>
      <c r="I90" s="22" t="s">
        <v>53</v>
      </c>
      <c r="J90" s="1"/>
      <c r="K90" s="1"/>
      <c r="L90" s="1"/>
      <c r="M90" s="1"/>
      <c r="N90" s="1"/>
      <c r="O90" s="16"/>
    </row>
    <row r="91" spans="2:15" ht="20.25">
      <c r="B91" s="20" t="s">
        <v>87</v>
      </c>
      <c r="C91" s="6"/>
      <c r="D91" s="6"/>
      <c r="E91" s="6"/>
      <c r="F91" s="21"/>
      <c r="G91" s="21"/>
      <c r="H91" s="55">
        <f>J64</f>
        <v>27.636363636363637</v>
      </c>
      <c r="I91" s="22" t="s">
        <v>53</v>
      </c>
      <c r="J91" s="1"/>
      <c r="K91" s="1"/>
      <c r="L91" s="1"/>
      <c r="M91" s="1"/>
      <c r="N91" s="1"/>
      <c r="O91" s="16"/>
    </row>
    <row r="92" spans="2:15" ht="18.75">
      <c r="B92" s="20" t="s">
        <v>121</v>
      </c>
      <c r="C92" s="6"/>
      <c r="D92" s="6"/>
      <c r="E92" s="6"/>
      <c r="F92" s="21"/>
      <c r="G92" s="21"/>
      <c r="H92" s="55">
        <f>J68</f>
        <v>23.427347031963468</v>
      </c>
      <c r="I92" s="22" t="s">
        <v>54</v>
      </c>
      <c r="J92" s="1"/>
      <c r="K92" s="1"/>
      <c r="L92" s="1"/>
      <c r="M92" s="1"/>
      <c r="N92" s="1"/>
      <c r="O92" s="16"/>
    </row>
    <row r="93" spans="2:15" ht="18.75">
      <c r="B93" s="9" t="s">
        <v>55</v>
      </c>
      <c r="C93" s="6"/>
      <c r="D93" s="6"/>
      <c r="E93" s="6"/>
      <c r="F93" s="21"/>
      <c r="G93" s="21"/>
      <c r="H93" s="56">
        <f>J57</f>
        <v>1.7</v>
      </c>
      <c r="I93" s="22" t="s">
        <v>56</v>
      </c>
      <c r="J93" s="1"/>
      <c r="K93" s="1"/>
      <c r="L93" s="1"/>
      <c r="M93" s="1"/>
      <c r="N93" s="1"/>
      <c r="O93" s="16"/>
    </row>
    <row r="94" spans="2:15" ht="18.75">
      <c r="J94" s="1"/>
      <c r="K94" s="1"/>
      <c r="L94" s="1"/>
      <c r="M94" s="1"/>
      <c r="N94" s="1"/>
      <c r="O94" s="16"/>
    </row>
    <row r="95" spans="2:15" ht="18.75">
      <c r="J95" s="1"/>
      <c r="K95" s="1"/>
      <c r="L95" s="1"/>
      <c r="M95" s="1"/>
      <c r="N95" s="1"/>
      <c r="O95" s="16"/>
    </row>
    <row r="96" spans="2:15" ht="18.75">
      <c r="J96" s="1"/>
      <c r="K96" s="1"/>
      <c r="L96" s="1"/>
      <c r="M96" s="1"/>
      <c r="N96" s="1"/>
      <c r="O96" s="16"/>
    </row>
    <row r="97" spans="2:15" ht="18.75">
      <c r="J97" s="1"/>
      <c r="K97" s="1"/>
      <c r="L97" s="1"/>
      <c r="M97" s="1"/>
      <c r="N97" s="1"/>
      <c r="O97" s="16"/>
    </row>
    <row r="98" spans="2:15" ht="18.75">
      <c r="J98" s="1"/>
      <c r="K98" s="1"/>
      <c r="L98" s="1"/>
      <c r="M98" s="1"/>
      <c r="N98" s="1"/>
      <c r="O98" s="16"/>
    </row>
    <row r="99" spans="2:15" ht="18.75">
      <c r="J99" s="1"/>
      <c r="K99" s="1"/>
      <c r="L99" s="1"/>
      <c r="M99" s="1"/>
      <c r="N99" s="1"/>
      <c r="O99" s="16"/>
    </row>
    <row r="100" spans="2:15" ht="18.75">
      <c r="J100" s="1"/>
      <c r="K100" s="1"/>
      <c r="L100" s="1"/>
      <c r="M100" s="1"/>
      <c r="N100" s="1"/>
      <c r="O100" s="16"/>
    </row>
    <row r="101" spans="2:15" ht="18.75">
      <c r="J101" s="1"/>
      <c r="K101" s="1"/>
      <c r="L101" s="1"/>
      <c r="M101" s="1"/>
      <c r="N101" s="1"/>
      <c r="O101" s="16"/>
    </row>
    <row r="102" spans="2:15" ht="18.75">
      <c r="J102" s="1"/>
      <c r="K102" s="1"/>
      <c r="L102" s="1"/>
      <c r="M102" s="1"/>
      <c r="N102" s="1"/>
      <c r="O102" s="16"/>
    </row>
    <row r="103" spans="2:15" ht="18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6"/>
    </row>
    <row r="104" spans="2:15" ht="18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6"/>
    </row>
    <row r="105" spans="2:15" ht="18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6"/>
    </row>
    <row r="106" spans="2:15" ht="18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6"/>
    </row>
    <row r="107" spans="2:15" ht="18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6"/>
    </row>
    <row r="108" spans="2:15" ht="18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6"/>
    </row>
    <row r="109" spans="2:15" ht="18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6"/>
    </row>
    <row r="110" spans="2:15" ht="18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6"/>
    </row>
    <row r="111" spans="2:15" ht="18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6"/>
    </row>
    <row r="112" spans="2:15" ht="18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6"/>
    </row>
    <row r="113" spans="2:15" ht="18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6"/>
    </row>
    <row r="114" spans="2:15" ht="18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6"/>
    </row>
    <row r="115" spans="2:15" ht="18.75">
      <c r="K115" s="1"/>
      <c r="L115" s="1"/>
      <c r="M115" s="1"/>
      <c r="N115" s="1"/>
      <c r="O115" s="16"/>
    </row>
    <row r="116" spans="2:15" ht="18.75">
      <c r="K116" s="1"/>
      <c r="L116" s="1"/>
      <c r="M116" s="1"/>
      <c r="N116" s="1"/>
      <c r="O116" s="16"/>
    </row>
    <row r="117" spans="2:15" ht="18.75">
      <c r="K117" s="1"/>
      <c r="L117" s="1"/>
      <c r="M117" s="1"/>
      <c r="N117" s="1"/>
      <c r="O117" s="16"/>
    </row>
    <row r="118" spans="2:15" ht="18.75">
      <c r="K118" s="1"/>
      <c r="L118" s="1"/>
      <c r="M118" s="1"/>
      <c r="N118" s="1"/>
      <c r="O118" s="16"/>
    </row>
    <row r="119" spans="2:15" ht="18.75">
      <c r="K119" s="1"/>
      <c r="L119" s="1"/>
      <c r="M119" s="1"/>
      <c r="N119" s="1"/>
      <c r="O119" s="16"/>
    </row>
    <row r="120" spans="2:15" ht="18.75">
      <c r="K120" s="1"/>
      <c r="L120" s="1"/>
      <c r="M120" s="1"/>
      <c r="N120" s="1"/>
      <c r="O120" s="16"/>
    </row>
    <row r="121" spans="2:15" ht="18.75">
      <c r="L121" s="1"/>
      <c r="M121" s="1"/>
      <c r="N121" s="1"/>
      <c r="O121" s="16"/>
    </row>
    <row r="122" spans="2:15" ht="18.75">
      <c r="L122" s="1"/>
      <c r="M122" s="1"/>
      <c r="N122" s="1"/>
      <c r="O122" s="16"/>
    </row>
    <row r="123" spans="2:15" ht="18.75">
      <c r="L123" s="1"/>
      <c r="M123" s="1"/>
      <c r="N123" s="1"/>
      <c r="O123" s="16"/>
    </row>
    <row r="124" spans="2:15" ht="18.75">
      <c r="L124" s="1"/>
      <c r="M124" s="1"/>
      <c r="N124" s="1"/>
      <c r="O124" s="16"/>
    </row>
  </sheetData>
  <mergeCells count="1">
    <mergeCell ref="L3:P3"/>
  </mergeCells>
  <hyperlinks>
    <hyperlink ref="L3" r:id="rId1"/>
  </hyperlinks>
  <pageMargins left="0.7" right="0.7" top="0.75" bottom="0.75" header="0.3" footer="0.3"/>
  <pageSetup paperSize="9" orientation="portrait" r:id="rId2"/>
  <drawing r:id="rId3"/>
  <legacyDrawing r:id="rId4"/>
  <controls>
    <control shapeId="3073" r:id="rId5" name="CommandButton1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D14" sqref="D14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#</cp:lastModifiedBy>
  <dcterms:created xsi:type="dcterms:W3CDTF">2006-09-28T05:33:49Z</dcterms:created>
  <dcterms:modified xsi:type="dcterms:W3CDTF">2018-08-29T21:29:38Z</dcterms:modified>
</cp:coreProperties>
</file>